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z-walt\Drexel\2024\Climate Action Plan\Buildings and Energy\Ventilation Carbon Footprint\UV Systems\"/>
    </mc:Choice>
  </mc:AlternateContent>
  <xr:revisionPtr revIDLastSave="0" documentId="13_ncr:1_{D44855CE-9FE3-4F90-8546-E70880331C04}" xr6:coauthVersionLast="47" xr6:coauthVersionMax="47" xr10:uidLastSave="{00000000-0000-0000-0000-000000000000}"/>
  <bookViews>
    <workbookView xWindow="-120" yWindow="-120" windowWidth="20730" windowHeight="11310" tabRatio="833" activeTab="2" xr2:uid="{00000000-000D-0000-FFFF-FFFF00000000}"/>
  </bookViews>
  <sheets>
    <sheet name="Cover" sheetId="1" r:id="rId1"/>
    <sheet name="UV Design" sheetId="26" r:id="rId2"/>
    <sheet name="ROI" sheetId="27" r:id="rId3"/>
    <sheet name="VentAlt" sheetId="2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1" i="28" l="1"/>
  <c r="D120" i="28"/>
  <c r="D119" i="28"/>
  <c r="B119" i="28"/>
  <c r="D118" i="28"/>
  <c r="B118" i="28"/>
  <c r="D117" i="28"/>
  <c r="B117" i="28"/>
  <c r="K116" i="28"/>
  <c r="J116" i="28"/>
  <c r="I116" i="28"/>
  <c r="H116" i="28"/>
  <c r="G116" i="28"/>
  <c r="F116" i="28"/>
  <c r="D111" i="28"/>
  <c r="D110" i="28"/>
  <c r="D109" i="28"/>
  <c r="D108" i="28"/>
  <c r="D107" i="28"/>
  <c r="K106" i="28"/>
  <c r="J106" i="28"/>
  <c r="I106" i="28"/>
  <c r="H106" i="28"/>
  <c r="G106" i="28"/>
  <c r="F106" i="28"/>
  <c r="D101" i="28"/>
  <c r="D100" i="28"/>
  <c r="D99" i="28"/>
  <c r="B99" i="28"/>
  <c r="D98" i="28"/>
  <c r="B98" i="28"/>
  <c r="D97" i="28"/>
  <c r="B97" i="28"/>
  <c r="K96" i="28"/>
  <c r="J96" i="28"/>
  <c r="I96" i="28"/>
  <c r="H96" i="28"/>
  <c r="G96" i="28"/>
  <c r="F96" i="28"/>
  <c r="D91" i="28"/>
  <c r="D90" i="28"/>
  <c r="D89" i="28"/>
  <c r="D88" i="28"/>
  <c r="D87" i="28"/>
  <c r="K86" i="28"/>
  <c r="J86" i="28"/>
  <c r="I86" i="28"/>
  <c r="H86" i="28"/>
  <c r="G86" i="28"/>
  <c r="F86" i="28"/>
  <c r="D81" i="28"/>
  <c r="D80" i="28"/>
  <c r="D79" i="28"/>
  <c r="B79" i="28"/>
  <c r="D78" i="28"/>
  <c r="B78" i="28"/>
  <c r="D77" i="28"/>
  <c r="B77" i="28"/>
  <c r="K76" i="28"/>
  <c r="J76" i="28"/>
  <c r="I76" i="28"/>
  <c r="H76" i="28"/>
  <c r="G76" i="28"/>
  <c r="F76" i="28"/>
  <c r="D71" i="28"/>
  <c r="D70" i="28"/>
  <c r="D69" i="28"/>
  <c r="D68" i="28"/>
  <c r="D67" i="28"/>
  <c r="K66" i="28"/>
  <c r="J66" i="28"/>
  <c r="I66" i="28"/>
  <c r="H66" i="28"/>
  <c r="G66" i="28"/>
  <c r="F66" i="28"/>
  <c r="D61" i="28"/>
  <c r="D60" i="28"/>
  <c r="D59" i="28"/>
  <c r="B59" i="28"/>
  <c r="D58" i="28"/>
  <c r="B58" i="28"/>
  <c r="D57" i="28"/>
  <c r="B57" i="28"/>
  <c r="K56" i="28"/>
  <c r="J56" i="28"/>
  <c r="I56" i="28"/>
  <c r="H56" i="28"/>
  <c r="G56" i="28"/>
  <c r="F56" i="28"/>
  <c r="D51" i="28"/>
  <c r="D50" i="28"/>
  <c r="D49" i="28"/>
  <c r="D48" i="28"/>
  <c r="D47" i="28"/>
  <c r="K46" i="28"/>
  <c r="J46" i="28"/>
  <c r="I46" i="28"/>
  <c r="H46" i="28"/>
  <c r="G46" i="28"/>
  <c r="F46" i="28"/>
  <c r="H30" i="28"/>
  <c r="G30" i="28"/>
  <c r="F30" i="28"/>
  <c r="E30" i="28"/>
  <c r="D30" i="28"/>
  <c r="C30" i="28"/>
  <c r="H29" i="28"/>
  <c r="G29" i="28"/>
  <c r="F29" i="28"/>
  <c r="E29" i="28"/>
  <c r="D29" i="28"/>
  <c r="C29" i="28"/>
  <c r="H28" i="28"/>
  <c r="G28" i="28"/>
  <c r="F28" i="28"/>
  <c r="E28" i="28"/>
  <c r="D28" i="28"/>
  <c r="C28" i="28"/>
  <c r="H27" i="28"/>
  <c r="G27" i="28"/>
  <c r="F27" i="28"/>
  <c r="E27" i="28"/>
  <c r="D27" i="28"/>
  <c r="C27" i="28"/>
  <c r="H26" i="28"/>
  <c r="G26" i="28"/>
  <c r="F26" i="28"/>
  <c r="E26" i="28"/>
  <c r="D26" i="28"/>
  <c r="C26" i="28"/>
  <c r="H25" i="28"/>
  <c r="G25" i="28"/>
  <c r="F25" i="28"/>
  <c r="E25" i="28"/>
  <c r="D25" i="28"/>
  <c r="C25" i="28"/>
  <c r="B14" i="28"/>
  <c r="I14" i="28" s="1"/>
  <c r="B13" i="28"/>
  <c r="I13" i="28" s="1"/>
  <c r="I12" i="28"/>
  <c r="H12" i="28"/>
  <c r="D12" i="28"/>
  <c r="I11" i="28"/>
  <c r="H11" i="28"/>
  <c r="F11" i="28"/>
  <c r="C11" i="28"/>
  <c r="I6" i="28"/>
  <c r="D6" i="28"/>
  <c r="F6" i="28" s="1"/>
  <c r="B6" i="28"/>
  <c r="C6" i="28" s="1"/>
  <c r="G6" i="28" s="1"/>
  <c r="G19" i="28" s="1"/>
  <c r="I5" i="28"/>
  <c r="D5" i="28"/>
  <c r="F5" i="28" s="1"/>
  <c r="B5" i="28"/>
  <c r="C5" i="28" s="1"/>
  <c r="G5" i="28" s="1"/>
  <c r="I4" i="28"/>
  <c r="D4" i="28"/>
  <c r="F4" i="28" s="1"/>
  <c r="G4" i="28" s="1"/>
  <c r="I3" i="28"/>
  <c r="D3" i="28"/>
  <c r="F3" i="28" s="1"/>
  <c r="G3" i="28" s="1"/>
  <c r="B7" i="27"/>
  <c r="B6" i="27"/>
  <c r="F14" i="27"/>
  <c r="D14" i="27"/>
  <c r="C23" i="27"/>
  <c r="A15" i="27"/>
  <c r="A16" i="27" s="1"/>
  <c r="A17" i="27" s="1"/>
  <c r="A18" i="27" s="1"/>
  <c r="A19" i="27" s="1"/>
  <c r="A20" i="27" s="1"/>
  <c r="A21" i="27" s="1"/>
  <c r="A22" i="27" s="1"/>
  <c r="A23" i="27" s="1"/>
  <c r="C22" i="27"/>
  <c r="C21" i="27"/>
  <c r="C20" i="27"/>
  <c r="C19" i="27"/>
  <c r="C18" i="27"/>
  <c r="C17" i="27"/>
  <c r="C16" i="27"/>
  <c r="C15" i="27"/>
  <c r="C14" i="27"/>
  <c r="D15" i="27" s="1"/>
  <c r="B11" i="27"/>
  <c r="B207" i="26"/>
  <c r="C207" i="26"/>
  <c r="C208" i="26" s="1"/>
  <c r="C209" i="26" s="1"/>
  <c r="D209" i="26" s="1"/>
  <c r="K3" i="28" l="1"/>
  <c r="J3" i="28"/>
  <c r="K4" i="28"/>
  <c r="J4" i="28"/>
  <c r="K5" i="28"/>
  <c r="J5" i="28"/>
  <c r="I19" i="28"/>
  <c r="K6" i="28"/>
  <c r="J6" i="28"/>
  <c r="K11" i="28"/>
  <c r="J11" i="28"/>
  <c r="D14" i="28"/>
  <c r="F14" i="28" s="1"/>
  <c r="C14" i="28" s="1"/>
  <c r="D13" i="28"/>
  <c r="F13" i="28" s="1"/>
  <c r="C13" i="28" s="1"/>
  <c r="F12" i="28"/>
  <c r="C12" i="28" s="1"/>
  <c r="K12" i="28"/>
  <c r="J12" i="28"/>
  <c r="K13" i="28"/>
  <c r="J13" i="28"/>
  <c r="H13" i="28"/>
  <c r="K14" i="28"/>
  <c r="J14" i="28"/>
  <c r="H14" i="28"/>
  <c r="H19" i="28" s="1"/>
  <c r="F51" i="28"/>
  <c r="F50" i="28"/>
  <c r="F49" i="28"/>
  <c r="F48" i="28"/>
  <c r="F47" i="28"/>
  <c r="G51" i="28"/>
  <c r="G50" i="28"/>
  <c r="G49" i="28"/>
  <c r="G48" i="28"/>
  <c r="G47" i="28"/>
  <c r="H51" i="28"/>
  <c r="H50" i="28"/>
  <c r="H49" i="28"/>
  <c r="H48" i="28"/>
  <c r="H47" i="28"/>
  <c r="I51" i="28"/>
  <c r="I50" i="28"/>
  <c r="I49" i="28"/>
  <c r="I48" i="28"/>
  <c r="I47" i="28"/>
  <c r="B52" i="28" s="1"/>
  <c r="C52" i="28" s="1"/>
  <c r="J51" i="28"/>
  <c r="J50" i="28"/>
  <c r="J49" i="28"/>
  <c r="J48" i="28"/>
  <c r="J47" i="28"/>
  <c r="K51" i="28"/>
  <c r="K50" i="28"/>
  <c r="K49" i="28"/>
  <c r="K48" i="28"/>
  <c r="K47" i="28"/>
  <c r="K61" i="28"/>
  <c r="F61" i="28"/>
  <c r="K60" i="28"/>
  <c r="F60" i="28"/>
  <c r="F59" i="28"/>
  <c r="F58" i="28"/>
  <c r="F57" i="28"/>
  <c r="G61" i="28"/>
  <c r="G60" i="28"/>
  <c r="G59" i="28"/>
  <c r="G58" i="28"/>
  <c r="G57" i="28"/>
  <c r="H61" i="28"/>
  <c r="H60" i="28"/>
  <c r="H59" i="28"/>
  <c r="H58" i="28"/>
  <c r="H57" i="28"/>
  <c r="I61" i="28"/>
  <c r="I60" i="28"/>
  <c r="I59" i="28"/>
  <c r="I58" i="28"/>
  <c r="I57" i="28"/>
  <c r="B62" i="28" s="1"/>
  <c r="C62" i="28" s="1"/>
  <c r="J61" i="28"/>
  <c r="J60" i="28"/>
  <c r="J59" i="28"/>
  <c r="J58" i="28"/>
  <c r="J57" i="28"/>
  <c r="K59" i="28"/>
  <c r="K58" i="28"/>
  <c r="K57" i="28"/>
  <c r="F71" i="28"/>
  <c r="F70" i="28"/>
  <c r="F69" i="28"/>
  <c r="F68" i="28"/>
  <c r="F67" i="28"/>
  <c r="G71" i="28"/>
  <c r="G70" i="28"/>
  <c r="G69" i="28"/>
  <c r="G68" i="28"/>
  <c r="G67" i="28"/>
  <c r="H71" i="28"/>
  <c r="H70" i="28"/>
  <c r="H69" i="28"/>
  <c r="H68" i="28"/>
  <c r="H67" i="28"/>
  <c r="I71" i="28"/>
  <c r="I70" i="28"/>
  <c r="I69" i="28"/>
  <c r="I68" i="28"/>
  <c r="I67" i="28"/>
  <c r="B72" i="28" s="1"/>
  <c r="C72" i="28" s="1"/>
  <c r="J71" i="28"/>
  <c r="J70" i="28"/>
  <c r="J69" i="28"/>
  <c r="J68" i="28"/>
  <c r="J67" i="28"/>
  <c r="K71" i="28"/>
  <c r="K70" i="28"/>
  <c r="K69" i="28"/>
  <c r="K68" i="28"/>
  <c r="K67" i="28"/>
  <c r="K81" i="28"/>
  <c r="F81" i="28"/>
  <c r="K80" i="28"/>
  <c r="F80" i="28"/>
  <c r="F79" i="28"/>
  <c r="F78" i="28"/>
  <c r="F77" i="28"/>
  <c r="G81" i="28"/>
  <c r="G80" i="28"/>
  <c r="G79" i="28"/>
  <c r="G78" i="28"/>
  <c r="G77" i="28"/>
  <c r="H81" i="28"/>
  <c r="H80" i="28"/>
  <c r="H79" i="28"/>
  <c r="H78" i="28"/>
  <c r="H77" i="28"/>
  <c r="I81" i="28"/>
  <c r="I80" i="28"/>
  <c r="I79" i="28"/>
  <c r="I78" i="28"/>
  <c r="I77" i="28"/>
  <c r="B82" i="28" s="1"/>
  <c r="C82" i="28" s="1"/>
  <c r="J81" i="28"/>
  <c r="J80" i="28"/>
  <c r="J79" i="28"/>
  <c r="J78" i="28"/>
  <c r="J77" i="28"/>
  <c r="K79" i="28"/>
  <c r="K78" i="28"/>
  <c r="K77" i="28"/>
  <c r="F91" i="28"/>
  <c r="F90" i="28"/>
  <c r="F89" i="28"/>
  <c r="F88" i="28"/>
  <c r="F87" i="28"/>
  <c r="G91" i="28"/>
  <c r="G90" i="28"/>
  <c r="G89" i="28"/>
  <c r="G88" i="28"/>
  <c r="G87" i="28"/>
  <c r="H91" i="28"/>
  <c r="H90" i="28"/>
  <c r="H89" i="28"/>
  <c r="H88" i="28"/>
  <c r="H87" i="28"/>
  <c r="I91" i="28"/>
  <c r="I90" i="28"/>
  <c r="I89" i="28"/>
  <c r="I88" i="28"/>
  <c r="I87" i="28"/>
  <c r="B92" i="28" s="1"/>
  <c r="C92" i="28" s="1"/>
  <c r="J91" i="28"/>
  <c r="J90" i="28"/>
  <c r="J89" i="28"/>
  <c r="J88" i="28"/>
  <c r="J87" i="28"/>
  <c r="K91" i="28"/>
  <c r="K90" i="28"/>
  <c r="K89" i="28"/>
  <c r="K88" i="28"/>
  <c r="K87" i="28"/>
  <c r="K101" i="28"/>
  <c r="F101" i="28"/>
  <c r="K100" i="28"/>
  <c r="F100" i="28"/>
  <c r="F99" i="28"/>
  <c r="F98" i="28"/>
  <c r="F97" i="28"/>
  <c r="G101" i="28"/>
  <c r="G100" i="28"/>
  <c r="G99" i="28"/>
  <c r="G98" i="28"/>
  <c r="G97" i="28"/>
  <c r="H101" i="28"/>
  <c r="H100" i="28"/>
  <c r="H99" i="28"/>
  <c r="H98" i="28"/>
  <c r="H97" i="28"/>
  <c r="I101" i="28"/>
  <c r="I100" i="28"/>
  <c r="I99" i="28"/>
  <c r="I98" i="28"/>
  <c r="I97" i="28"/>
  <c r="B102" i="28" s="1"/>
  <c r="C102" i="28" s="1"/>
  <c r="J101" i="28"/>
  <c r="J100" i="28"/>
  <c r="J99" i="28"/>
  <c r="J98" i="28"/>
  <c r="J97" i="28"/>
  <c r="K99" i="28"/>
  <c r="K98" i="28"/>
  <c r="K97" i="28"/>
  <c r="F111" i="28"/>
  <c r="F110" i="28"/>
  <c r="F109" i="28"/>
  <c r="F108" i="28"/>
  <c r="F107" i="28"/>
  <c r="G111" i="28"/>
  <c r="G110" i="28"/>
  <c r="G109" i="28"/>
  <c r="G108" i="28"/>
  <c r="G107" i="28"/>
  <c r="H111" i="28"/>
  <c r="H110" i="28"/>
  <c r="H109" i="28"/>
  <c r="H108" i="28"/>
  <c r="H107" i="28"/>
  <c r="I111" i="28"/>
  <c r="I110" i="28"/>
  <c r="I109" i="28"/>
  <c r="I108" i="28"/>
  <c r="I107" i="28"/>
  <c r="B112" i="28" s="1"/>
  <c r="C112" i="28" s="1"/>
  <c r="J111" i="28"/>
  <c r="J110" i="28"/>
  <c r="J109" i="28"/>
  <c r="J108" i="28"/>
  <c r="J107" i="28"/>
  <c r="K111" i="28"/>
  <c r="K110" i="28"/>
  <c r="K109" i="28"/>
  <c r="K108" i="28"/>
  <c r="K107" i="28"/>
  <c r="K121" i="28"/>
  <c r="F121" i="28"/>
  <c r="K120" i="28"/>
  <c r="F120" i="28"/>
  <c r="F119" i="28"/>
  <c r="F118" i="28"/>
  <c r="F117" i="28"/>
  <c r="G121" i="28"/>
  <c r="G120" i="28"/>
  <c r="G119" i="28"/>
  <c r="G118" i="28"/>
  <c r="G117" i="28"/>
  <c r="H121" i="28"/>
  <c r="H120" i="28"/>
  <c r="H119" i="28"/>
  <c r="H118" i="28"/>
  <c r="H117" i="28"/>
  <c r="I121" i="28"/>
  <c r="I120" i="28"/>
  <c r="I119" i="28"/>
  <c r="I118" i="28"/>
  <c r="I117" i="28"/>
  <c r="B122" i="28" s="1"/>
  <c r="C122" i="28" s="1"/>
  <c r="J121" i="28"/>
  <c r="J120" i="28"/>
  <c r="J119" i="28"/>
  <c r="J118" i="28"/>
  <c r="J117" i="28"/>
  <c r="K119" i="28"/>
  <c r="K118" i="28"/>
  <c r="K117" i="28"/>
  <c r="F23" i="27"/>
  <c r="D23" i="27"/>
  <c r="F22" i="27"/>
  <c r="D22" i="27"/>
  <c r="F21" i="27"/>
  <c r="D21" i="27"/>
  <c r="F20" i="27"/>
  <c r="D20" i="27"/>
  <c r="F19" i="27"/>
  <c r="D19" i="27"/>
  <c r="F18" i="27"/>
  <c r="D18" i="27"/>
  <c r="F17" i="27"/>
  <c r="D17" i="27"/>
  <c r="F16" i="27"/>
  <c r="D16" i="27"/>
  <c r="F15" i="27"/>
  <c r="G14" i="27"/>
  <c r="E14" i="27"/>
  <c r="E15" i="27" s="1"/>
  <c r="D207" i="26"/>
  <c r="D208" i="26"/>
  <c r="C210" i="26"/>
  <c r="D210" i="26" s="1"/>
  <c r="J19" i="28" l="1"/>
  <c r="K19" i="28"/>
  <c r="G15" i="27"/>
  <c r="H15" i="27" s="1"/>
  <c r="H14" i="27"/>
  <c r="E16" i="27"/>
  <c r="G16" i="27"/>
  <c r="G17" i="27" s="1"/>
  <c r="G18" i="27" s="1"/>
  <c r="G19" i="27" s="1"/>
  <c r="G20" i="27"/>
  <c r="G21" i="27" s="1"/>
  <c r="G22" i="27" s="1"/>
  <c r="G23" i="27"/>
  <c r="P194" i="26"/>
  <c r="P193" i="26"/>
  <c r="P192" i="26"/>
  <c r="P191" i="26"/>
  <c r="P190" i="26"/>
  <c r="P189" i="26"/>
  <c r="P188" i="26"/>
  <c r="P187" i="26"/>
  <c r="P186" i="26"/>
  <c r="P185" i="26"/>
  <c r="P184" i="26"/>
  <c r="P183" i="26"/>
  <c r="P182" i="26"/>
  <c r="P181" i="26"/>
  <c r="P180" i="26"/>
  <c r="P179" i="26"/>
  <c r="P178" i="26"/>
  <c r="P162" i="26"/>
  <c r="P161" i="26"/>
  <c r="P170" i="26"/>
  <c r="P169" i="26"/>
  <c r="P168" i="26"/>
  <c r="P167" i="26"/>
  <c r="P166" i="26"/>
  <c r="P165" i="26"/>
  <c r="P164" i="26"/>
  <c r="P163" i="26"/>
  <c r="P160" i="26"/>
  <c r="P159" i="26"/>
  <c r="E17" i="27" l="1"/>
  <c r="H16" i="27"/>
  <c r="P195" i="26"/>
  <c r="P171" i="26"/>
  <c r="F151" i="26"/>
  <c r="G148" i="26"/>
  <c r="H147" i="26"/>
  <c r="F147" i="26"/>
  <c r="G146" i="26"/>
  <c r="H142" i="26"/>
  <c r="H148" i="26" s="1"/>
  <c r="G142" i="26"/>
  <c r="F142" i="26"/>
  <c r="F148" i="26" s="1"/>
  <c r="H141" i="26"/>
  <c r="G141" i="26"/>
  <c r="G147" i="26" s="1"/>
  <c r="F141" i="26"/>
  <c r="H140" i="26"/>
  <c r="H146" i="26" s="1"/>
  <c r="G140" i="26"/>
  <c r="F140" i="26"/>
  <c r="F146" i="26" s="1"/>
  <c r="E18" i="27" l="1"/>
  <c r="H17" i="27"/>
  <c r="P60" i="26"/>
  <c r="P59" i="26"/>
  <c r="P58" i="26"/>
  <c r="P57" i="26"/>
  <c r="P56" i="26"/>
  <c r="P55" i="26"/>
  <c r="P54" i="26"/>
  <c r="P53" i="26"/>
  <c r="I53" i="26"/>
  <c r="P52" i="26"/>
  <c r="P51" i="26"/>
  <c r="P50" i="26"/>
  <c r="P49" i="26"/>
  <c r="P48" i="26"/>
  <c r="P47" i="26"/>
  <c r="P46" i="26"/>
  <c r="P45" i="26"/>
  <c r="P44" i="26"/>
  <c r="I44" i="26"/>
  <c r="P16" i="26"/>
  <c r="P38" i="26"/>
  <c r="P15" i="26"/>
  <c r="P31" i="26"/>
  <c r="I31" i="26"/>
  <c r="P30" i="26"/>
  <c r="I30" i="26"/>
  <c r="P29" i="26"/>
  <c r="I29" i="26"/>
  <c r="P28" i="26"/>
  <c r="I28" i="26"/>
  <c r="P27" i="26"/>
  <c r="I27" i="26"/>
  <c r="P26" i="26"/>
  <c r="I26" i="26"/>
  <c r="P25" i="26"/>
  <c r="I25" i="26"/>
  <c r="P24" i="26"/>
  <c r="I24" i="26"/>
  <c r="P23" i="26"/>
  <c r="I23" i="26"/>
  <c r="P22" i="26"/>
  <c r="I22" i="26"/>
  <c r="P37" i="26"/>
  <c r="P36" i="26"/>
  <c r="P35" i="26"/>
  <c r="P34" i="26"/>
  <c r="P33" i="26"/>
  <c r="P32" i="26"/>
  <c r="P14" i="26"/>
  <c r="P13" i="26"/>
  <c r="P12" i="26"/>
  <c r="P11" i="26"/>
  <c r="P10" i="26"/>
  <c r="P9" i="26"/>
  <c r="P8" i="26"/>
  <c r="P7" i="26"/>
  <c r="P6" i="26"/>
  <c r="P5" i="26"/>
  <c r="I8" i="26"/>
  <c r="I7" i="26"/>
  <c r="I6" i="26"/>
  <c r="I5" i="26"/>
  <c r="I12" i="26"/>
  <c r="I11" i="26"/>
  <c r="I10" i="26"/>
  <c r="I9" i="26"/>
  <c r="D72" i="26"/>
  <c r="D71" i="26"/>
  <c r="D70" i="26"/>
  <c r="D69" i="26"/>
  <c r="P72" i="26"/>
  <c r="P71" i="26"/>
  <c r="P70" i="26"/>
  <c r="P69" i="26"/>
  <c r="X19" i="26"/>
  <c r="X20" i="26"/>
  <c r="X21" i="26"/>
  <c r="X22" i="26"/>
  <c r="X23" i="26"/>
  <c r="Z18" i="26"/>
  <c r="Z19" i="26"/>
  <c r="Z20" i="26"/>
  <c r="Z23" i="26"/>
  <c r="Z22" i="26"/>
  <c r="Z21" i="26"/>
  <c r="Y23" i="26"/>
  <c r="Y22" i="26"/>
  <c r="Y21" i="26"/>
  <c r="Y20" i="26"/>
  <c r="Y19" i="26"/>
  <c r="Y18" i="26"/>
  <c r="E19" i="27" l="1"/>
  <c r="H18" i="27"/>
  <c r="P61" i="26"/>
  <c r="P39" i="26"/>
  <c r="P17" i="26"/>
  <c r="H19" i="27" l="1"/>
  <c r="E20" i="27"/>
  <c r="R61" i="26"/>
  <c r="E21" i="27" l="1"/>
  <c r="H20" i="27"/>
  <c r="E22" i="27" l="1"/>
  <c r="H21" i="27"/>
  <c r="H22" i="27" l="1"/>
  <c r="E23" i="27"/>
  <c r="H23" i="27" s="1"/>
</calcChain>
</file>

<file path=xl/sharedStrings.xml><?xml version="1.0" encoding="utf-8"?>
<sst xmlns="http://schemas.openxmlformats.org/spreadsheetml/2006/main" count="923" uniqueCount="419">
  <si>
    <t>This spreadsheet houses many of the tables used in the return to life systems analysis.</t>
  </si>
  <si>
    <t>Select the appropriate tabs.</t>
  </si>
  <si>
    <t>Copyright 2020. This speradsheet may be freely distributed and referenced as long as the author is clearly identified. When using this paper for critical review or significant meetings the author requests that he be contacted and made aware of the events. Any publication works that will collect money from part or all of this content must contact the author.</t>
  </si>
  <si>
    <t>COVID-19 Return To Life A Systems Perspective</t>
  </si>
  <si>
    <t>By Walter Sobkiw</t>
  </si>
  <si>
    <t>This research is not associated with any institution.</t>
  </si>
  <si>
    <t>It is ongoing and part of a broader set of COVID-19 systems oriented research areas.</t>
  </si>
  <si>
    <t>www.cassbeth.com/covid-19</t>
  </si>
  <si>
    <t>Schools</t>
  </si>
  <si>
    <t>Office</t>
  </si>
  <si>
    <t>X</t>
  </si>
  <si>
    <t>Retail</t>
  </si>
  <si>
    <t>Comment</t>
  </si>
  <si>
    <t>none</t>
  </si>
  <si>
    <t>Bathroom</t>
  </si>
  <si>
    <t>Dining Room</t>
  </si>
  <si>
    <t>Kitchen</t>
  </si>
  <si>
    <t>AUC</t>
  </si>
  <si>
    <t>HOA Club House</t>
  </si>
  <si>
    <t>W</t>
  </si>
  <si>
    <t>sq-ft</t>
  </si>
  <si>
    <t xml:space="preserve">4/22/2020 origination </t>
  </si>
  <si>
    <t>Benefits from UV:</t>
  </si>
  <si>
    <t>High Efficiency</t>
  </si>
  <si>
    <t>Name</t>
  </si>
  <si>
    <t>Vibrio Cholera</t>
  </si>
  <si>
    <t>Pseudo monas Bacteria</t>
  </si>
  <si>
    <t>Tetanus</t>
  </si>
  <si>
    <t>Salmonella</t>
  </si>
  <si>
    <t>Bacteria</t>
  </si>
  <si>
    <t>Dysentery Bacillus</t>
  </si>
  <si>
    <t>Fever Bacteria</t>
  </si>
  <si>
    <t>Hook-side Pylon Bacillus</t>
  </si>
  <si>
    <t>Shigella</t>
  </si>
  <si>
    <t>Legion Ella</t>
  </si>
  <si>
    <t>Staphylococcus</t>
  </si>
  <si>
    <t>Micro co</t>
  </si>
  <si>
    <t>0.4-1.53</t>
  </si>
  <si>
    <t>Streptococcus</t>
  </si>
  <si>
    <t>Adenovirus</t>
  </si>
  <si>
    <t>Influenza Virus</t>
  </si>
  <si>
    <t>Phagocyte Cell Virus</t>
  </si>
  <si>
    <t>Polio Virus</t>
  </si>
  <si>
    <t>Virus</t>
  </si>
  <si>
    <t>Coxsackie Virus</t>
  </si>
  <si>
    <t>Rota Virus</t>
  </si>
  <si>
    <t>ECHO Virus</t>
  </si>
  <si>
    <t>Tobacco Mosaic Virus</t>
  </si>
  <si>
    <t>ECHO Virus 1</t>
  </si>
  <si>
    <t>Hepatitis B Virus</t>
  </si>
  <si>
    <t>Soft Spores</t>
  </si>
  <si>
    <t>Aspergillums</t>
  </si>
  <si>
    <t>0.73-8.80</t>
  </si>
  <si>
    <t>2.93-0.87</t>
  </si>
  <si>
    <t>Dung Fungi</t>
  </si>
  <si>
    <t>2.00-3.33</t>
  </si>
  <si>
    <t>0.23-4.67</t>
  </si>
  <si>
    <t>Blue-green algae</t>
  </si>
  <si>
    <t>Paramecium</t>
  </si>
  <si>
    <t>Chlorella</t>
  </si>
  <si>
    <t>Green Algae</t>
  </si>
  <si>
    <t>Line Ovum</t>
  </si>
  <si>
    <t>Protozoan</t>
  </si>
  <si>
    <t>Pang I Disuse</t>
  </si>
  <si>
    <t>Infectious Pancreatic Necrosis</t>
  </si>
  <si>
    <t>Leukodennia</t>
  </si>
  <si>
    <t>• Environmentally Friendly, Safe and Reliable.</t>
  </si>
  <si>
    <t>• Cost Effective.</t>
  </si>
  <si>
    <t>• Low Capital and Operating Costs.</t>
  </si>
  <si>
    <t>• Easy Operation and Maintenance.</t>
  </si>
  <si>
    <t>• Wide Application.</t>
  </si>
  <si>
    <t>• Not Changing the taste, order, PH conductivity or chemical properties of the air and water.</t>
  </si>
  <si>
    <t>100% kill (s)</t>
  </si>
  <si>
    <t>Anthraces</t>
  </si>
  <si>
    <t>Tuberculosis</t>
  </si>
  <si>
    <t xml:space="preserve">Diphtheria </t>
  </si>
  <si>
    <t>Clostridium Botulism</t>
  </si>
  <si>
    <t>Colibacillus</t>
  </si>
  <si>
    <t>Mold Spores</t>
  </si>
  <si>
    <t>Aspergillums Niger</t>
  </si>
  <si>
    <t>Penicillium</t>
  </si>
  <si>
    <t xml:space="preserve">Penicillium Chrysogenum </t>
  </si>
  <si>
    <t>Mucor</t>
  </si>
  <si>
    <t>Other Fungi Penicillium</t>
  </si>
  <si>
    <t>Water Algae</t>
  </si>
  <si>
    <t>4-6.7</t>
  </si>
  <si>
    <t>Fish Disease</t>
  </si>
  <si>
    <t>Hemorrhagic</t>
  </si>
  <si>
    <t>Source: https://lightbest.en.alibaba.com</t>
  </si>
  <si>
    <t>10-40</t>
  </si>
  <si>
    <t>Note: 1 sq. ft. = 929.03 sq. cm.</t>
  </si>
  <si>
    <t>10-20 milliwatts per sq. ft. ~ 10-20 microwatts per sq. cm.</t>
  </si>
  <si>
    <t>0.2 to 0.5 milliwatts per sq. ft. ~ .2 to .5 microwatts per sq. cm.</t>
  </si>
  <si>
    <t>Source: Effect of Ultra-violet Irradiation of Classrooms on Spread of Measles in Large Rural Central Schools, May 1947. NewYork State Department of Health, Albany ,N.Y. webpage https://www.ncbi.nlm.nih.gov/pmc/articles/PMC1623610/pdf/amjphnation01116-0034.pdf</t>
  </si>
  <si>
    <t>uW/cm2</t>
  </si>
  <si>
    <t>kill (s)</t>
  </si>
  <si>
    <t>kill (h)</t>
  </si>
  <si>
    <t>This analysis shows how long the virus needs to be exposed with lower power levels, assumes linear kill</t>
  </si>
  <si>
    <t>Assumes 100% kill</t>
  </si>
  <si>
    <t>10-20 uW/cm2 was used in the original studies 1936 - 1943</t>
  </si>
  <si>
    <t>Design to criteria</t>
  </si>
  <si>
    <t>• No process by-products to health without need to add chemicals.</t>
  </si>
  <si>
    <t>UV-C Design Solutions</t>
  </si>
  <si>
    <t>Whole House UV-C</t>
  </si>
  <si>
    <t>Living room</t>
  </si>
  <si>
    <t>Bedroom</t>
  </si>
  <si>
    <t>Rec Room</t>
  </si>
  <si>
    <t>Powder Room</t>
  </si>
  <si>
    <t># Lamps</t>
  </si>
  <si>
    <t>Lamp Type</t>
  </si>
  <si>
    <t>Instant Start (Slimline) Germicidal Lamps-T5 SP_DE Instant start lamps-Ozone free</t>
  </si>
  <si>
    <r>
      <t> </t>
    </r>
    <r>
      <rPr>
        <b/>
        <sz val="11"/>
        <color theme="1"/>
        <rFont val="Calibri"/>
        <family val="2"/>
        <scheme val="minor"/>
      </rPr>
      <t>(W)</t>
    </r>
  </si>
  <si>
    <t>G10T5l</t>
  </si>
  <si>
    <t>G36T5l</t>
  </si>
  <si>
    <t>G48T5l</t>
  </si>
  <si>
    <t>G64T5l</t>
  </si>
  <si>
    <t>Analysis to determine uW/cm2</t>
  </si>
  <si>
    <t>Diameter
(mm)</t>
  </si>
  <si>
    <t>Length
(mm)</t>
  </si>
  <si>
    <t> Arc Length
(mm)</t>
  </si>
  <si>
    <t>Power
(W)</t>
  </si>
  <si>
    <t>Current
(mA)</t>
  </si>
  <si>
    <t>voltage
(V)</t>
  </si>
  <si>
    <t>Rated Life
(hrs)</t>
  </si>
  <si>
    <t>UV output at 1 meter (uw/cm2)</t>
  </si>
  <si>
    <t>Model
Number</t>
  </si>
  <si>
    <t xml:space="preserve">Vendor:  Lightbest </t>
  </si>
  <si>
    <t>https://lightbest.en.alibaba.com</t>
  </si>
  <si>
    <t>no found</t>
  </si>
  <si>
    <t>Lamp Holders</t>
  </si>
  <si>
    <t>Balast</t>
  </si>
  <si>
    <t>Custom Enclosure</t>
  </si>
  <si>
    <t>Total</t>
  </si>
  <si>
    <t>Light Cost
$7-$15</t>
  </si>
  <si>
    <t>Note: All costs are quantity buys</t>
  </si>
  <si>
    <t>Bacillus Typhi murium</t>
  </si>
  <si>
    <t>Length
(inch)</t>
  </si>
  <si>
    <t>1 inch = 0.0393701 mm</t>
  </si>
  <si>
    <t>Unit
Cost</t>
  </si>
  <si>
    <t>Ballroom</t>
  </si>
  <si>
    <t>Library</t>
  </si>
  <si>
    <t>Sitting Area</t>
  </si>
  <si>
    <t>Conference Room</t>
  </si>
  <si>
    <t>Craft Room</t>
  </si>
  <si>
    <t>Billiards Room</t>
  </si>
  <si>
    <t>Game Room</t>
  </si>
  <si>
    <t>Exercise Room</t>
  </si>
  <si>
    <t>Indoor Pool</t>
  </si>
  <si>
    <t>Locker Room 1</t>
  </si>
  <si>
    <t>Locker Room 2</t>
  </si>
  <si>
    <t>Powder Room 1</t>
  </si>
  <si>
    <t>Powder Room 2</t>
  </si>
  <si>
    <t>Reception Area</t>
  </si>
  <si>
    <t>Hallway</t>
  </si>
  <si>
    <t>Note: This is based on using component parts from Lightbest Co, LTD</t>
  </si>
  <si>
    <t>UV Measurement Tool</t>
  </si>
  <si>
    <t>uw/cm2</t>
  </si>
  <si>
    <t>Unit Cost</t>
  </si>
  <si>
    <t>Models</t>
  </si>
  <si>
    <t>Voltage</t>
  </si>
  <si>
    <t>Unit Width</t>
  </si>
  <si>
    <t>Depth</t>
  </si>
  <si>
    <t>Price</t>
  </si>
  <si>
    <t># of Lamps</t>
  </si>
  <si>
    <t>LIND24-EVO 40-0125B</t>
  </si>
  <si>
    <t>LIND24-EVO-2PM 40-0126C</t>
  </si>
  <si>
    <t>Unit Length Inch</t>
  </si>
  <si>
    <t>Total UV Output W</t>
  </si>
  <si>
    <t>Power Usage W</t>
  </si>
  <si>
    <t>Hygeaire Ultraviolet Indirect Air Disinfection Fixtures</t>
  </si>
  <si>
    <t>https://www.buyultraviolet.com/hygeaire-uv-indirect-air-disinfection-units</t>
  </si>
  <si>
    <t>https://www.lumalier.com/index.html</t>
  </si>
  <si>
    <t>https://www.lumalier.com/products/upperair.html</t>
  </si>
  <si>
    <t>This corner mount is for use in small rooms where available wall space is at a premium. The effective coverage area for the CM-218 unit is 110 sq. feet.  Model CM uses 2 Philips PL-L 18W UV lamps.</t>
  </si>
  <si>
    <t xml:space="preserve">GC Model This model is for use in large open spaces where ceiling mounting is preferred.  The effective coverage area of the GC-136 is 240 sq. feet and the GC-236 is 480 sq. feet and the unit uses 1 or 2 Philips PL-L 36W UV Lamps. </t>
  </si>
  <si>
    <t>GL Model These fixtures are for use with high ceilings allowing for an open style UV fixture. The effective coverage area for GL-118 is 110 sq. ft., GL-218 is 220 sq. ft., and GL-418 is 440 sq. ft. and each model uses 1, 2 or 4 Philips PL-L18W UV lamps.</t>
  </si>
  <si>
    <t>https://www.novaelectronics.net/files/UpperAir.pdf</t>
  </si>
  <si>
    <t>WM Model These fixtures are for use in areas where wall mounting is preferred. The effective coverage area for the WM-136 is 240 sq. feet and the WM236 is 480 sq. feet. Model WM uses either 1 or 2 Philips PL-L 36W UV lamps.</t>
  </si>
  <si>
    <t xml:space="preserve">ASD ModelThe Evergreen ASD fixture is an advanced, dual-purpose Air and Surface Disinfection unit engineered for overall pathogen load reduction.  ASD fixtures provide high-level, passive airborne pathogen reduction into high-risk occupied spaces; plus treat all surfaces to achieve high-log surface (fomite) decontamination in unoccupied spaces.The ASD fixed-units are simple-to-operate, wall-mounted fixtures that easily replace expensive, roll-in, portable surface disinfection robots with a simple, labor-free system. </t>
  </si>
  <si>
    <t>2x2 ModelThe EvergreenUV 2x2 upper air diffuser unit combines dynamic and passive UV-C disinfection for your high-risk areas. This unit is engineered to use existing 2x2 supply diffuser or use an internal fan along with upper air UVC for stand alone, high rate pathogen reduction.</t>
  </si>
  <si>
    <t># Units</t>
  </si>
  <si>
    <t>Unit Type</t>
  </si>
  <si>
    <t>Len (in)</t>
  </si>
  <si>
    <t>TB &amp; RAM Air Cleaners Technical Specifications</t>
  </si>
  <si>
    <t> Air Cleaner Model</t>
  </si>
  <si>
    <t>TB-12-W</t>
  </si>
  <si>
    <t>TB-24-W</t>
  </si>
  <si>
    <t>TB-36-W</t>
  </si>
  <si>
    <t>RAM36-2</t>
  </si>
  <si>
    <t> UV Lamps</t>
  </si>
  <si>
    <t>SBL350*</t>
  </si>
  <si>
    <t> SBL325</t>
  </si>
  <si>
    <t> SBL005</t>
  </si>
  <si>
    <t>SBL420 (2)</t>
  </si>
  <si>
    <t> UV Lamp Life</t>
  </si>
  <si>
    <t>12,000 hours</t>
  </si>
  <si>
    <t>17,000 hours</t>
  </si>
  <si>
    <t> UV Lamp Intensity</t>
  </si>
  <si>
    <t>50 µW/cm²</t>
  </si>
  <si>
    <t>100 µW/cm²</t>
  </si>
  <si>
    <t>175 µW/cm²</t>
  </si>
  <si>
    <t>120 µW/cm²</t>
  </si>
  <si>
    <t> Air Movement</t>
  </si>
  <si>
    <t>Convection</t>
  </si>
  <si>
    <t>100 CFM</t>
  </si>
  <si>
    <t> Electrical</t>
  </si>
  <si>
    <t>120V, 60Hz, 3Amp / 220V, 50/60Hz</t>
  </si>
  <si>
    <t> Construction</t>
  </si>
  <si>
    <t>All TB air cleaners are made of hospital grade stainless steel</t>
  </si>
  <si>
    <t> Sq. Ft. Coverage</t>
  </si>
  <si>
    <t>75 sq. ft.</t>
  </si>
  <si>
    <t>200 sq. ft.</t>
  </si>
  <si>
    <t>300 sq. ft.</t>
  </si>
  <si>
    <t> Lamp replacement</t>
  </si>
  <si>
    <t>UV lamp must be replaced before the end of the effective lamp life.</t>
  </si>
  <si>
    <t>The UV lamp will continue to operate longer but the UV output deteriorates rapidly.</t>
  </si>
  <si>
    <t>* SBL350 UV lamp replaced SBL060</t>
  </si>
  <si>
    <t>https://www.americanairandwater.com/uf/tb_uf.htm</t>
  </si>
  <si>
    <t>UV-C rays can kill microorganisms including bacteria, viruses. fungi and protozoa such as Cryptosporidium, Giardia, SARS, H5N 1 and so on within one second (see chart 1-Disinfection time @ 30000 uW/cm2 or 30mJ/cm2)</t>
  </si>
  <si>
    <t>PET (seconds) = REL (6000 uJ/cm2 at 254 nm) / Measured irradiance level at 254 nm (uW/cm2)</t>
  </si>
  <si>
    <t>where: At 254 nm, the CDC/NIOSH REL is 6 mJ/cm2 (6000 uJ/cm2)</t>
  </si>
  <si>
    <t>The following table shows the PET values for different scenarios. [4]</t>
  </si>
  <si>
    <t>PET</t>
  </si>
  <si>
    <t>(Units given)</t>
  </si>
  <si>
    <t>(Sec)</t>
  </si>
  <si>
    <t>Effective Irradiance</t>
  </si>
  <si>
    <t>(uW/cm2)</t>
  </si>
  <si>
    <t>8 h</t>
  </si>
  <si>
    <t>4 h</t>
  </si>
  <si>
    <t>2 h</t>
  </si>
  <si>
    <t>1 h</t>
  </si>
  <si>
    <t>30 min</t>
  </si>
  <si>
    <t>15 min</t>
  </si>
  <si>
    <t>10 min</t>
  </si>
  <si>
    <t>5 min</t>
  </si>
  <si>
    <t>1 min</t>
  </si>
  <si>
    <t>30 sec</t>
  </si>
  <si>
    <t>10 sec</t>
  </si>
  <si>
    <t>1 sec</t>
  </si>
  <si>
    <t>0.5 sec</t>
  </si>
  <si>
    <t>0.1 sec</t>
  </si>
  <si>
    <t>Basic Upper-Room Ultraviolet Germicidal Irradiation Guidelines for Healthcare Settings, Department of Health and Human Services Centers for Disease Control and Prevention National Institute for Occupational Safety and Health, DHHS (NIOSH), Publication No. 2009-105 March 2009. webpage https://www.cdc.gov/niosh/docs/2009-105/pdfs/2009-105.pdf</t>
  </si>
  <si>
    <t>HCov-229E</t>
  </si>
  <si>
    <t>HCov-OC43</t>
  </si>
  <si>
    <t>Influenza A (H1N1)</t>
  </si>
  <si>
    <t>Far-UVC light efficiently and safely inactivatesairborne human coronaviruses, Center for Radiological Research, Columbia University Irving Medical Center, Under Review. webpage https://www.researchsquare.com/article/rs-25728, https://assets.researchsquare.com/files/rs-25728/v1/manuscript.pdf</t>
  </si>
  <si>
    <t>1 uW = 1 uJ/sec</t>
  </si>
  <si>
    <t>1 watt = 1 Joule/sec = 1 W = 1 J/s</t>
  </si>
  <si>
    <t>Virus &amp; Inactivation %</t>
  </si>
  <si>
    <t>mJ/cm2 per 20 min</t>
  </si>
  <si>
    <t>uJ/cm2/20 min</t>
  </si>
  <si>
    <t>1mJ = 1,000 uJ</t>
  </si>
  <si>
    <t>uj/cm2/sec = uW</t>
  </si>
  <si>
    <t>mJ/cm2/hour</t>
  </si>
  <si>
    <t>Max exposure</t>
  </si>
  <si>
    <t>uj/cm2/sec = uW will inactivate virus in 20 min</t>
  </si>
  <si>
    <t>Other vendors:</t>
  </si>
  <si>
    <t>https://www.larsonelectronics.com/</t>
  </si>
  <si>
    <t>https://www.larsonelectronics.com/product/268798/40w-far-uv-sanitation-light-1-222-nm-uvc-excimer-lamp-wall-mount-w-2-6-adjustable-arms</t>
  </si>
  <si>
    <t>https://www.larsonelectronics.com/product/268737/far-uv-recessed-8-can-light-1-10w-microplasma-board-222-nm-uvc-sanitation-recessed-mount</t>
  </si>
  <si>
    <t>40W Far-UV Sanitation Light - (1) 222 nm UVC Excimer Lamp - Wall Mount</t>
  </si>
  <si>
    <t>Cost</t>
  </si>
  <si>
    <t>Far-UV Recessed 8" Can Light - 10W Microplasma Board, 222 nm UVC Sanitation - Recessed Mount</t>
  </si>
  <si>
    <t>Watts</t>
  </si>
  <si>
    <t>uW/CM2</t>
  </si>
  <si>
    <t>40 uW/cm2 @ 1.57"</t>
  </si>
  <si>
    <t>Power and power density at a distance are not consistent</t>
  </si>
  <si>
    <t>Incomplete specs</t>
  </si>
  <si>
    <t>This is based on fixtures from:</t>
  </si>
  <si>
    <t xml:space="preserve">IND-AR2-UML-FUVC-EX-6-1L-V1 Sanitation Light </t>
  </si>
  <si>
    <t>IND-CDL-RD-8-FUVC-MP-1L-V1 Far-UV Sanitation Light</t>
  </si>
  <si>
    <t>TBD</t>
  </si>
  <si>
    <t>Portable moveable fixture</t>
  </si>
  <si>
    <t>Use Portable moveable fixture</t>
  </si>
  <si>
    <t>https://lightbest.en.alibaba.com/product/62592341286-803080602/G10T5L_17w_uv_254nm_sterilization_lamp_uv_lamp.html</t>
  </si>
  <si>
    <t>https://www.thebalance.com/what-is-commercial-real-estate-3305914</t>
  </si>
  <si>
    <t>Commercial real estate is any property owned for the purpose of producing income. There is about $6 trillion worth of commercial real estate in the United States. Here are the five largest categories of commercial real estate.</t>
  </si>
  <si>
    <t>1. Retail includes indoor shopping malls, outdoor strip malls, and big box retailers. It also includes grocery stores and restaurants. Its value is around $2.1 trillion or 36 percent of the total value of commercial real estate. It consists of at least 9.5 billion square feet of shopping center space.</t>
  </si>
  <si>
    <t>3. Office buildings include everything from Manhattan skyscrapers to your lawyer's office. There are roughly 4 billion square feet of office space, worth around $1.7 trillion or 29 percent of the total.</t>
  </si>
  <si>
    <t>Other commercial real estate categories are much smaller. These include some non-profits, such as hospitals and schools. Vacant land is commercial real estate if it will be leased, not sold. </t>
  </si>
  <si>
    <t>2. Hotels include motels, luxury resorts, and business hotels. This category does not include homes that rent out rooms through Airbnb. There are roughly 4.4 million hotel rooms worth $1.92 trillion.</t>
  </si>
  <si>
    <t>4. Apartment buildings are commercial real estate. Companies own them only to turn a profit. That's why homes rented by their owners are residential, not commercial. Some reports include apartment building data in statistics for residential real estate instead of commercial real estate. There are around 33 million square feet of apartment rental space, worth about $1.44 trillion.</t>
  </si>
  <si>
    <t>5. Industrial property is used to manufacture, distribute, or warehouse a product. It's not always considered commercial, especially in land use plans and in zoning. There are 13 billion square feet of industrial property worth around $240 billion.</t>
  </si>
  <si>
    <t>There are roughly 4 billion square feet of office space, worth around $1.7 trillion or 29 percent of the total</t>
  </si>
  <si>
    <t>Cost/sq-ft</t>
  </si>
  <si>
    <t>UV Space</t>
  </si>
  <si>
    <t>Commercial Office Space</t>
  </si>
  <si>
    <t>Industrial property</t>
  </si>
  <si>
    <t>Manufacture, distribute, warehouse</t>
  </si>
  <si>
    <t>Manhattan skyscrapers to lawyer's office</t>
  </si>
  <si>
    <t>Public and private, see school tab</t>
  </si>
  <si>
    <t>US UV Infrastructure Cost Estimate</t>
  </si>
  <si>
    <t>Indoor &amp; strip malls, big box retailers, grocery stores, restaurants, shopping center space</t>
  </si>
  <si>
    <t>Note: Cost per sq-ft derived from using one fixture in a 900 sq-ft school classroom</t>
  </si>
  <si>
    <t>Vendor product list</t>
  </si>
  <si>
    <t>https://www.ushio.com</t>
  </si>
  <si>
    <t>https://healthelighting.com</t>
  </si>
  <si>
    <t>American Air and Water</t>
  </si>
  <si>
    <t>EvergreenUV / Lumalier</t>
  </si>
  <si>
    <t>Atlantic Ultraviolet Corporation</t>
  </si>
  <si>
    <t>Lightbest Co, LTD</t>
  </si>
  <si>
    <t>American Ultraviolet</t>
  </si>
  <si>
    <t>https://www.americanultraviolet.com</t>
  </si>
  <si>
    <t>Larson Electronics</t>
  </si>
  <si>
    <t>USIO</t>
  </si>
  <si>
    <t>Heathe</t>
  </si>
  <si>
    <t>Coospider</t>
  </si>
  <si>
    <t>https://coospider.com</t>
  </si>
  <si>
    <t>ProLampSales</t>
  </si>
  <si>
    <t>https://www.prolampsales.com/collections/g13-base-uvc-bulbs</t>
  </si>
  <si>
    <t>https://www.prolampsales.com/collections/uvc-indirect-upper-air-sanitizers</t>
  </si>
  <si>
    <t>Phillips</t>
  </si>
  <si>
    <t>https://www.lighting.philips.com/main/products/uv-disinfection</t>
  </si>
  <si>
    <t>UV Solutions Buyers Guide</t>
  </si>
  <si>
    <t>https://uvsolutionsmag.com/buyersguide/services/MAIN_COVID19</t>
  </si>
  <si>
    <t>UV-C</t>
  </si>
  <si>
    <t>FAR UV-222</t>
  </si>
  <si>
    <t>Nova Electronics</t>
  </si>
  <si>
    <t>Key Metric Items</t>
  </si>
  <si>
    <t>UV Purchase Cost Per sq-ft</t>
  </si>
  <si>
    <t>Mechanical Blower Purchase Cost Per sq-ft</t>
  </si>
  <si>
    <t>Operating Savings Factor</t>
  </si>
  <si>
    <t>Cost per kWh</t>
  </si>
  <si>
    <t>Performance Numbers</t>
  </si>
  <si>
    <t>UV initial purchase cost premium</t>
  </si>
  <si>
    <t>Year</t>
  </si>
  <si>
    <t>Operating Hours</t>
  </si>
  <si>
    <t>Hours / year</t>
  </si>
  <si>
    <t>Runing Tot</t>
  </si>
  <si>
    <t>UV 
(1000 sqft)</t>
  </si>
  <si>
    <t>Mech 
(1000 sqft)</t>
  </si>
  <si>
    <t>UV Watts (10824 cu-ft)</t>
  </si>
  <si>
    <t>Mechanical Watts (10824 cu-ft)</t>
  </si>
  <si>
    <t>ACH</t>
  </si>
  <si>
    <t>Delta</t>
  </si>
  <si>
    <t>change the ACH level to get new ROI</t>
  </si>
  <si>
    <t>Ventilation Alternatives Cost Analysis</t>
  </si>
  <si>
    <t>Mechanical</t>
  </si>
  <si>
    <t>Units</t>
  </si>
  <si>
    <t>CFM</t>
  </si>
  <si>
    <t>ceiling</t>
  </si>
  <si>
    <t>cu-ft</t>
  </si>
  <si>
    <t>Amps</t>
  </si>
  <si>
    <t>Watts / CFM</t>
  </si>
  <si>
    <t>Watts / ACH</t>
  </si>
  <si>
    <t>Initial Cost</t>
  </si>
  <si>
    <t>Dayton Furnace Blower possible</t>
  </si>
  <si>
    <t>https://www.electricmotorwarehouse.com/content/PDF/1XJX7_spec.pdf</t>
  </si>
  <si>
    <t>Dayton Furnace Blower Selected</t>
  </si>
  <si>
    <t>https://www.grainger.com/product/DAYTON-1-hpHP-115V-Double-Inlet-Forward-1XJY3</t>
  </si>
  <si>
    <t>Derived / check</t>
  </si>
  <si>
    <t>na</t>
  </si>
  <si>
    <t>used to check derived design from the selected approach</t>
  </si>
  <si>
    <t>Baseline Approach</t>
  </si>
  <si>
    <t>ACH = CFM*60/cu-ft</t>
  </si>
  <si>
    <t>CFM = ACH*cu-ft/60</t>
  </si>
  <si>
    <t>Ceiling Level UV-C</t>
  </si>
  <si>
    <t>eCFM</t>
  </si>
  <si>
    <t>eACH</t>
  </si>
  <si>
    <t>Watts/eCFM</t>
  </si>
  <si>
    <t>Watts / eACH</t>
  </si>
  <si>
    <t>GC-295 (2x95W bulbs)</t>
  </si>
  <si>
    <t>https://www.lumalier.com/upper-air-disinfection/ceiling-mounted/gc-cieling-mount</t>
  </si>
  <si>
    <t>GC-295 (2x95W bulbs) Selected</t>
  </si>
  <si>
    <t>Derived / Check</t>
  </si>
  <si>
    <t>https://www.youtube.com/watch?v=cTK7QnrKe1M</t>
  </si>
  <si>
    <t>Delta Mech/UV-C</t>
  </si>
  <si>
    <t>Cost Difference</t>
  </si>
  <si>
    <t>Mechanical ventilation costs 8 times more than ceiling level UV-C ventilation</t>
  </si>
  <si>
    <t>Mental Model of Possible Test Results</t>
  </si>
  <si>
    <t>Operational Test</t>
  </si>
  <si>
    <t>Ventilation ACH (avg)</t>
  </si>
  <si>
    <t>Virus Level (1 min)</t>
  </si>
  <si>
    <t>Virus Level (10 min)</t>
  </si>
  <si>
    <t>Virus Level  (30 min)</t>
  </si>
  <si>
    <t>Virus Level  (60 min)</t>
  </si>
  <si>
    <t>Virus Level (2 hrs)</t>
  </si>
  <si>
    <t>Virus Level  (4 hrs)</t>
  </si>
  <si>
    <t>Standard Test x A0</t>
  </si>
  <si>
    <t>Standard Test x A1 (a)</t>
  </si>
  <si>
    <t>Standard Test x A4</t>
  </si>
  <si>
    <t>Standard Test x A6</t>
  </si>
  <si>
    <t>Standard Test x A12</t>
  </si>
  <si>
    <t>Mental model # 1 suggests this ACH level</t>
  </si>
  <si>
    <t>Standard Test x A20</t>
  </si>
  <si>
    <t>Standard Test x A24</t>
  </si>
  <si>
    <t>Mental model # 2 suggests this ACH level +</t>
  </si>
  <si>
    <t>Notes: (a) Case history shows infection happens at this level, see section School Case History.</t>
  </si>
  <si>
    <t>virus level = 100% virus/ACH = 1/ACH for time &gt;= 60 min</t>
  </si>
  <si>
    <t>virus level = virus level at 60 min * time / 60 for virus &lt; 60 min</t>
  </si>
  <si>
    <t>Aerosol Cloud Mental Models</t>
  </si>
  <si>
    <t>Notes:</t>
  </si>
  <si>
    <t>a. Classroom infection happens in 60 minutes</t>
  </si>
  <si>
    <t>b. space size is not a factor in cloud dilution for this model of a traveling cloud</t>
  </si>
  <si>
    <t>c. The virus load = virus count = particle count</t>
  </si>
  <si>
    <t>d. The aerosol cloud density is calculated as (sd*sd/4)*4 ft</t>
  </si>
  <si>
    <t>Aerosol Mental model #1 traveling cloud ACH = 0</t>
  </si>
  <si>
    <t>Space cu-ft</t>
  </si>
  <si>
    <t>Sensor distance (sd) (ft)</t>
  </si>
  <si>
    <t>Aerosol cloud cu-ft</t>
  </si>
  <si>
    <t>Particles / min</t>
  </si>
  <si>
    <t>Particle Count (1 min)</t>
  </si>
  <si>
    <t>Particle Count (10 min)</t>
  </si>
  <si>
    <t>Particle Count  (30 min)</t>
  </si>
  <si>
    <t>Particle Count  (60 min)</t>
  </si>
  <si>
    <t>Particle Count (2 hrs)</t>
  </si>
  <si>
    <t>Particle Count  (4 hrs)</t>
  </si>
  <si>
    <t>virus load at source</t>
  </si>
  <si>
    <t>virus load at measured location (sd)</t>
  </si>
  <si>
    <t>Classroom infection happens in 60 minutes</t>
  </si>
  <si>
    <t>space size not a factor in cloud dilution</t>
  </si>
  <si>
    <t xml:space="preserve">Virus Level (0) = 80/1200 = </t>
  </si>
  <si>
    <t>the ventilation system must maintain this performance level of remaining contagions at all times</t>
  </si>
  <si>
    <t>Aeosol Mental model #2 uniform distribution in space ACH = 0</t>
  </si>
  <si>
    <t>cloud fully dispersed at 10+ min and 2+ ft</t>
  </si>
  <si>
    <t xml:space="preserve">Virus Level (0) = 7/1200 = </t>
  </si>
  <si>
    <t>A piece part vendor / distributor is: https://www.prolampsales.com</t>
  </si>
  <si>
    <t>Based on buying turnkey UV products.</t>
  </si>
  <si>
    <t>If there is a desire to build the system using piece parts the price is approximately $0.20 Per sq-ft and the ROI is in the first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</si>
</sst>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quot;$&quot;#,##0.00"/>
    <numFmt numFmtId="166" formatCode="0.0%"/>
  </numFmts>
  <fonts count="8"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u/>
      <sz val="11"/>
      <color theme="10"/>
      <name val="Calibri"/>
      <family val="2"/>
      <scheme val="minor"/>
    </font>
    <font>
      <u/>
      <sz val="12"/>
      <color theme="10"/>
      <name val="Times New Roman"/>
      <family val="1"/>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70">
    <xf numFmtId="0" fontId="0" fillId="0" borderId="0" xfId="0"/>
    <xf numFmtId="0" fontId="0" fillId="0" borderId="0" xfId="0" applyAlignment="1">
      <alignment vertical="center"/>
    </xf>
    <xf numFmtId="0" fontId="0" fillId="0" borderId="0" xfId="0" applyAlignment="1">
      <alignment wrapText="1"/>
    </xf>
    <xf numFmtId="0" fontId="2"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2" fillId="0" borderId="0" xfId="0" applyFont="1"/>
    <xf numFmtId="0" fontId="2" fillId="0" borderId="0" xfId="0" applyFont="1" applyAlignment="1">
      <alignment wrapText="1"/>
    </xf>
    <xf numFmtId="0" fontId="4" fillId="0" borderId="0" xfId="1"/>
    <xf numFmtId="0" fontId="1" fillId="0" borderId="0" xfId="0" applyFont="1" applyAlignment="1">
      <alignment horizontal="center" vertical="center"/>
    </xf>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center" vertical="center"/>
    </xf>
    <xf numFmtId="0" fontId="2" fillId="0" borderId="0" xfId="0" applyFont="1" applyAlignment="1">
      <alignment vertical="center"/>
    </xf>
    <xf numFmtId="0" fontId="5" fillId="0" borderId="0" xfId="1" applyFont="1" applyAlignment="1">
      <alignment horizontal="center" vertical="center"/>
    </xf>
    <xf numFmtId="0" fontId="1" fillId="0" borderId="0" xfId="0" applyFont="1"/>
    <xf numFmtId="1" fontId="0" fillId="0" borderId="0" xfId="0" applyNumberFormat="1"/>
    <xf numFmtId="0" fontId="1" fillId="0" borderId="0" xfId="0" applyFont="1" applyAlignment="1">
      <alignment horizontal="center"/>
    </xf>
    <xf numFmtId="0" fontId="0" fillId="0" borderId="0" xfId="0" applyAlignment="1">
      <alignment horizontal="center"/>
    </xf>
    <xf numFmtId="14" fontId="2" fillId="0" borderId="0" xfId="0" applyNumberFormat="1" applyFont="1" applyAlignment="1">
      <alignment horizontal="center" vertical="center"/>
    </xf>
    <xf numFmtId="0" fontId="0" fillId="0" borderId="0" xfId="0" applyAlignment="1">
      <alignment horizontal="left"/>
    </xf>
    <xf numFmtId="0" fontId="1" fillId="0" borderId="0" xfId="0" applyFont="1" applyAlignment="1">
      <alignment horizontal="center" wrapText="1"/>
    </xf>
    <xf numFmtId="0" fontId="0" fillId="0" borderId="0" xfId="0" applyAlignment="1">
      <alignment horizontal="right"/>
    </xf>
    <xf numFmtId="0" fontId="4" fillId="0" borderId="0" xfId="1" applyAlignment="1">
      <alignment horizontal="left"/>
    </xf>
    <xf numFmtId="1" fontId="0" fillId="0" borderId="0" xfId="0" applyNumberFormat="1" applyAlignment="1">
      <alignment horizontal="center"/>
    </xf>
    <xf numFmtId="0" fontId="0" fillId="0" borderId="0" xfId="0" applyAlignment="1">
      <alignment horizontal="center" vertical="top"/>
    </xf>
    <xf numFmtId="1" fontId="0" fillId="2" borderId="0" xfId="0" applyNumberFormat="1" applyFill="1"/>
    <xf numFmtId="0" fontId="0" fillId="2" borderId="0" xfId="0" applyFill="1"/>
    <xf numFmtId="0" fontId="0" fillId="0" borderId="0" xfId="0" applyAlignment="1">
      <alignment horizontal="left" vertical="center"/>
    </xf>
    <xf numFmtId="0" fontId="1" fillId="0" borderId="0" xfId="0" applyFont="1" applyAlignment="1">
      <alignment horizontal="left" vertical="center"/>
    </xf>
    <xf numFmtId="2"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164" fontId="0" fillId="0" borderId="0" xfId="0" applyNumberFormat="1" applyAlignment="1">
      <alignment horizontal="center" vertical="center" wrapText="1"/>
    </xf>
    <xf numFmtId="164" fontId="0" fillId="0" borderId="0" xfId="0" applyNumberFormat="1"/>
    <xf numFmtId="0" fontId="0" fillId="0" borderId="1" xfId="0" applyBorder="1"/>
    <xf numFmtId="164" fontId="0" fillId="0" borderId="1" xfId="0" applyNumberFormat="1" applyBorder="1"/>
    <xf numFmtId="6" fontId="0" fillId="0" borderId="0" xfId="0" applyNumberFormat="1" applyAlignment="1">
      <alignment vertical="center" wrapText="1"/>
    </xf>
    <xf numFmtId="1" fontId="0" fillId="0" borderId="0" xfId="0" applyNumberFormat="1" applyAlignment="1">
      <alignment vertical="center" wrapText="1"/>
    </xf>
    <xf numFmtId="0" fontId="1" fillId="0" borderId="0" xfId="0" applyFont="1" applyAlignment="1">
      <alignment vertical="center" wrapText="1"/>
    </xf>
    <xf numFmtId="3" fontId="0" fillId="0" borderId="0" xfId="0" applyNumberFormat="1" applyAlignment="1">
      <alignment horizontal="center" vertical="center" wrapText="1"/>
    </xf>
    <xf numFmtId="9" fontId="1" fillId="0" borderId="0" xfId="0" applyNumberFormat="1" applyFont="1" applyAlignment="1">
      <alignment vertical="center" wrapText="1"/>
    </xf>
    <xf numFmtId="10" fontId="1" fillId="0" borderId="0" xfId="0" applyNumberFormat="1" applyFont="1" applyAlignment="1">
      <alignment vertical="center" wrapText="1"/>
    </xf>
    <xf numFmtId="2" fontId="0" fillId="0" borderId="0" xfId="0" applyNumberFormat="1" applyAlignment="1">
      <alignment vertical="center" wrapText="1"/>
    </xf>
    <xf numFmtId="0" fontId="0" fillId="0" borderId="0" xfId="0" applyAlignment="1">
      <alignment vertical="top"/>
    </xf>
    <xf numFmtId="6" fontId="0" fillId="0" borderId="0" xfId="0" applyNumberFormat="1" applyAlignment="1">
      <alignment vertical="top"/>
    </xf>
    <xf numFmtId="0" fontId="0" fillId="0" borderId="0" xfId="0" applyAlignment="1">
      <alignment vertical="top" wrapText="1"/>
    </xf>
    <xf numFmtId="165" fontId="0" fillId="0" borderId="0" xfId="0" applyNumberFormat="1"/>
    <xf numFmtId="164" fontId="0" fillId="0" borderId="0" xfId="0" applyNumberFormat="1" applyAlignment="1">
      <alignment horizontal="right"/>
    </xf>
    <xf numFmtId="165" fontId="0" fillId="0" borderId="0" xfId="0" applyNumberFormat="1" applyAlignment="1">
      <alignment horizontal="right"/>
    </xf>
    <xf numFmtId="3" fontId="0" fillId="0" borderId="0" xfId="0" applyNumberFormat="1" applyAlignment="1">
      <alignment horizontal="right"/>
    </xf>
    <xf numFmtId="8" fontId="0" fillId="0" borderId="0" xfId="0" applyNumberFormat="1"/>
    <xf numFmtId="8" fontId="0" fillId="0" borderId="0" xfId="0" applyNumberFormat="1" applyAlignment="1">
      <alignment horizontal="center"/>
    </xf>
    <xf numFmtId="0" fontId="1" fillId="0" borderId="0" xfId="0" applyFont="1" applyAlignment="1">
      <alignment wrapText="1"/>
    </xf>
    <xf numFmtId="0" fontId="6" fillId="0" borderId="0" xfId="0" applyFont="1"/>
    <xf numFmtId="2" fontId="6" fillId="0" borderId="0" xfId="0" applyNumberFormat="1" applyFont="1"/>
    <xf numFmtId="164" fontId="1" fillId="0" borderId="0" xfId="0" applyNumberFormat="1" applyFont="1"/>
    <xf numFmtId="9" fontId="0" fillId="0" borderId="0" xfId="0" applyNumberFormat="1"/>
    <xf numFmtId="10" fontId="0" fillId="0" borderId="0" xfId="0" applyNumberFormat="1"/>
    <xf numFmtId="166" fontId="0" fillId="0" borderId="0" xfId="0" applyNumberFormat="1"/>
    <xf numFmtId="3" fontId="0" fillId="0" borderId="0" xfId="0" applyNumberFormat="1" applyAlignment="1">
      <alignment horizontal="center"/>
    </xf>
    <xf numFmtId="3" fontId="1" fillId="0" borderId="0" xfId="0" applyNumberFormat="1" applyFont="1"/>
    <xf numFmtId="3" fontId="0" fillId="0" borderId="0" xfId="0" applyNumberFormat="1"/>
    <xf numFmtId="3" fontId="1" fillId="2" borderId="0" xfId="0" applyNumberFormat="1" applyFont="1" applyFill="1"/>
    <xf numFmtId="0" fontId="1" fillId="0" borderId="0" xfId="0" applyFont="1" applyAlignment="1">
      <alignment horizontal="right"/>
    </xf>
    <xf numFmtId="0" fontId="7" fillId="0" borderId="0" xfId="0" applyFont="1"/>
    <xf numFmtId="10" fontId="7" fillId="0" borderId="0" xfId="0" applyNumberFormat="1" applyFont="1"/>
    <xf numFmtId="3" fontId="0" fillId="3" borderId="0" xfId="0" applyNumberFormat="1" applyFill="1"/>
  </cellXfs>
  <cellStyles count="2">
    <cellStyle name="Hyperlink" xfId="1" builtinId="8"/>
    <cellStyle name="Normal" xfId="0" builtinId="0"/>
  </cellStyles>
  <dxfs count="0"/>
  <tableStyles count="0" defaultTableStyle="TableStyleMedium2" defaultPivotStyle="PivotStyleLight16"/>
  <colors>
    <mruColors>
      <color rgb="FFFF9797"/>
      <color rgb="FFFF6699"/>
      <color rgb="FFFFD597"/>
      <color rgb="FFFFFF99"/>
      <color rgb="FFFFFF6D"/>
      <color rgb="FFFF6464"/>
      <color rgb="FFD5B8EA"/>
      <color rgb="FFB07BD7"/>
      <color rgb="FFFFB84F"/>
      <color rgb="FFFFE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ssbeth.com/covid-1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arsonelectronics.com/" TargetMode="External"/><Relationship Id="rId13" Type="http://schemas.openxmlformats.org/officeDocument/2006/relationships/hyperlink" Target="https://www.prolampsales.com/collections/uvc-indirect-upper-air-sanitizers" TargetMode="External"/><Relationship Id="rId3" Type="http://schemas.openxmlformats.org/officeDocument/2006/relationships/hyperlink" Target="https://www.buyultraviolet.com/hygeaire-uv-indirect-air-disinfection-units" TargetMode="External"/><Relationship Id="rId7" Type="http://schemas.openxmlformats.org/officeDocument/2006/relationships/hyperlink" Target="https://www.americanultraviolet.com/" TargetMode="External"/><Relationship Id="rId12" Type="http://schemas.openxmlformats.org/officeDocument/2006/relationships/hyperlink" Target="https://www.prolampsales.com/collections/g13-base-uvc-bulbs" TargetMode="External"/><Relationship Id="rId17" Type="http://schemas.openxmlformats.org/officeDocument/2006/relationships/printerSettings" Target="../printerSettings/printerSettings2.bin"/><Relationship Id="rId2" Type="http://schemas.openxmlformats.org/officeDocument/2006/relationships/hyperlink" Target="https://lightbest.en.alibaba.com/" TargetMode="External"/><Relationship Id="rId16" Type="http://schemas.openxmlformats.org/officeDocument/2006/relationships/hyperlink" Target="https://www.ushio.com/" TargetMode="External"/><Relationship Id="rId1" Type="http://schemas.openxmlformats.org/officeDocument/2006/relationships/hyperlink" Target="https://coospider.com/" TargetMode="External"/><Relationship Id="rId6" Type="http://schemas.openxmlformats.org/officeDocument/2006/relationships/hyperlink" Target="https://www.americanairandwater.com/uf/tb_uf.htm" TargetMode="External"/><Relationship Id="rId11" Type="http://schemas.openxmlformats.org/officeDocument/2006/relationships/hyperlink" Target="https://healthelighting.com/" TargetMode="External"/><Relationship Id="rId5" Type="http://schemas.openxmlformats.org/officeDocument/2006/relationships/hyperlink" Target="https://www.novaelectronics.net/files/UpperAir.pdf" TargetMode="External"/><Relationship Id="rId15" Type="http://schemas.openxmlformats.org/officeDocument/2006/relationships/hyperlink" Target="https://uvsolutionsmag.com/buyersguide/services/MAIN_COVID19" TargetMode="External"/><Relationship Id="rId10" Type="http://schemas.openxmlformats.org/officeDocument/2006/relationships/hyperlink" Target="https://www.larsonelectronics.com/product/268737/far-uv-recessed-8-can-light-1-10w-microplasma-board-222-nm-uvc-sanitation-recessed-mount" TargetMode="External"/><Relationship Id="rId4" Type="http://schemas.openxmlformats.org/officeDocument/2006/relationships/hyperlink" Target="https://www.lumalier.com/products/upperair.html" TargetMode="External"/><Relationship Id="rId9" Type="http://schemas.openxmlformats.org/officeDocument/2006/relationships/hyperlink" Target="https://www.larsonelectronics.com/product/268798/40w-far-uv-sanitation-light-1-222-nm-uvc-excimer-lamp-wall-mount-w-2-6-adjustable-arms" TargetMode="External"/><Relationship Id="rId14" Type="http://schemas.openxmlformats.org/officeDocument/2006/relationships/hyperlink" Target="https://www.lighting.philips.com/main/products/uv-disinfec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8"/>
  <sheetViews>
    <sheetView topLeftCell="A2" workbookViewId="0">
      <selection activeCell="A5" sqref="A5"/>
    </sheetView>
  </sheetViews>
  <sheetFormatPr defaultRowHeight="15.75" x14ac:dyDescent="0.25"/>
  <cols>
    <col min="1" max="1" width="91.5703125" style="8" customWidth="1"/>
    <col min="2" max="16384" width="9.140625" style="7"/>
  </cols>
  <sheetData>
    <row r="2" spans="1:1" x14ac:dyDescent="0.25">
      <c r="A2" s="13" t="s">
        <v>3</v>
      </c>
    </row>
    <row r="3" spans="1:1" x14ac:dyDescent="0.25">
      <c r="A3" s="5"/>
    </row>
    <row r="4" spans="1:1" x14ac:dyDescent="0.25">
      <c r="A4" s="5" t="s">
        <v>4</v>
      </c>
    </row>
    <row r="5" spans="1:1" x14ac:dyDescent="0.25">
      <c r="A5" s="20">
        <v>44927</v>
      </c>
    </row>
    <row r="7" spans="1:1" x14ac:dyDescent="0.25">
      <c r="A7" s="20" t="s">
        <v>21</v>
      </c>
    </row>
    <row r="8" spans="1:1" x14ac:dyDescent="0.25">
      <c r="A8" s="14"/>
    </row>
    <row r="9" spans="1:1" x14ac:dyDescent="0.25">
      <c r="A9" s="14"/>
    </row>
    <row r="10" spans="1:1" x14ac:dyDescent="0.25">
      <c r="A10" s="5" t="s">
        <v>5</v>
      </c>
    </row>
    <row r="11" spans="1:1" x14ac:dyDescent="0.25">
      <c r="A11" s="5" t="s">
        <v>6</v>
      </c>
    </row>
    <row r="12" spans="1:1" x14ac:dyDescent="0.25">
      <c r="A12" s="15" t="s">
        <v>7</v>
      </c>
    </row>
    <row r="14" spans="1:1" x14ac:dyDescent="0.25">
      <c r="A14" s="8" t="s">
        <v>0</v>
      </c>
    </row>
    <row r="16" spans="1:1" x14ac:dyDescent="0.25">
      <c r="A16" s="8" t="s">
        <v>1</v>
      </c>
    </row>
    <row r="18" spans="1:1" ht="63" x14ac:dyDescent="0.25">
      <c r="A18" s="3" t="s">
        <v>2</v>
      </c>
    </row>
  </sheetData>
  <hyperlinks>
    <hyperlink ref="A12" r:id="rId1" display="http://www.cassbeth.com/covid-19" xr:uid="{7CA8E884-4B9B-4ECC-8776-D3151F6039C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F648-A188-4AA1-846C-9DA23B64D372}">
  <dimension ref="A1:AA245"/>
  <sheetViews>
    <sheetView workbookViewId="0">
      <selection activeCell="B66" sqref="B66"/>
    </sheetView>
  </sheetViews>
  <sheetFormatPr defaultRowHeight="15" x14ac:dyDescent="0.25"/>
  <cols>
    <col min="1" max="1" width="21.140625" customWidth="1"/>
    <col min="2" max="2" width="16.42578125" style="19" bestFit="1" customWidth="1"/>
    <col min="3" max="3" width="10.42578125" bestFit="1" customWidth="1"/>
    <col min="4" max="4" width="15.140625" style="19" bestFit="1" customWidth="1"/>
    <col min="5" max="6" width="7" bestFit="1" customWidth="1"/>
    <col min="7" max="8" width="7.5703125" bestFit="1" customWidth="1"/>
    <col min="9" max="9" width="10.5703125" customWidth="1"/>
    <col min="10" max="10" width="4.85546875" bestFit="1" customWidth="1"/>
    <col min="11" max="11" width="6.140625" bestFit="1" customWidth="1"/>
    <col min="12" max="12" width="9.42578125" customWidth="1"/>
    <col min="13" max="13" width="7.85546875" bestFit="1" customWidth="1"/>
    <col min="14" max="14" width="6.28515625" bestFit="1" customWidth="1"/>
    <col min="15" max="15" width="9.5703125" customWidth="1"/>
    <col min="16" max="16" width="7.5703125" bestFit="1" customWidth="1"/>
    <col min="18" max="18" width="24.85546875" customWidth="1"/>
    <col min="19" max="19" width="11.42578125" bestFit="1" customWidth="1"/>
    <col min="20" max="20" width="23.28515625" customWidth="1"/>
    <col min="21" max="21" width="11.42578125" bestFit="1" customWidth="1"/>
  </cols>
  <sheetData>
    <row r="1" spans="1:23" x14ac:dyDescent="0.25">
      <c r="B1"/>
      <c r="D1"/>
    </row>
    <row r="2" spans="1:23" x14ac:dyDescent="0.25">
      <c r="A2" s="16" t="s">
        <v>102</v>
      </c>
      <c r="B2"/>
      <c r="D2"/>
      <c r="R2" s="16" t="s">
        <v>116</v>
      </c>
    </row>
    <row r="3" spans="1:23" x14ac:dyDescent="0.25">
      <c r="A3" s="16"/>
      <c r="B3"/>
      <c r="D3"/>
    </row>
    <row r="4" spans="1:23" ht="45" x14ac:dyDescent="0.25">
      <c r="A4" s="16" t="s">
        <v>103</v>
      </c>
      <c r="B4" s="18" t="s">
        <v>108</v>
      </c>
      <c r="C4" s="18" t="s">
        <v>109</v>
      </c>
      <c r="D4" s="18"/>
      <c r="E4" s="18"/>
      <c r="F4" s="18"/>
      <c r="G4" s="34" t="s">
        <v>136</v>
      </c>
      <c r="H4" s="18"/>
      <c r="I4" s="34" t="s">
        <v>124</v>
      </c>
      <c r="J4" s="18" t="s">
        <v>19</v>
      </c>
      <c r="K4" s="18"/>
      <c r="L4" s="22" t="s">
        <v>138</v>
      </c>
      <c r="M4" s="18"/>
      <c r="N4" s="18"/>
      <c r="O4" s="18"/>
      <c r="P4" s="18" t="s">
        <v>132</v>
      </c>
      <c r="R4" t="s">
        <v>88</v>
      </c>
      <c r="S4" s="19"/>
      <c r="U4" s="19"/>
    </row>
    <row r="5" spans="1:23" x14ac:dyDescent="0.25">
      <c r="A5" t="s">
        <v>104</v>
      </c>
      <c r="B5">
        <v>2</v>
      </c>
      <c r="C5" s="33" t="s">
        <v>113</v>
      </c>
      <c r="D5"/>
      <c r="G5">
        <v>33</v>
      </c>
      <c r="I5">
        <f t="shared" ref="I5:I8" si="0">130*B5</f>
        <v>260</v>
      </c>
      <c r="J5">
        <v>13</v>
      </c>
      <c r="L5" s="35">
        <v>47</v>
      </c>
      <c r="P5" s="36">
        <f>L5*B5</f>
        <v>94</v>
      </c>
      <c r="S5" s="19"/>
      <c r="U5" s="19"/>
    </row>
    <row r="6" spans="1:23" x14ac:dyDescent="0.25">
      <c r="A6" t="s">
        <v>15</v>
      </c>
      <c r="B6">
        <v>1</v>
      </c>
      <c r="C6" s="33" t="s">
        <v>113</v>
      </c>
      <c r="D6"/>
      <c r="G6">
        <v>33</v>
      </c>
      <c r="I6">
        <f t="shared" si="0"/>
        <v>130</v>
      </c>
      <c r="J6">
        <v>13</v>
      </c>
      <c r="L6" s="35">
        <v>47</v>
      </c>
      <c r="P6" s="36">
        <f t="shared" ref="P6:P14" si="1">L6*B6</f>
        <v>47</v>
      </c>
      <c r="R6" s="1" t="s">
        <v>24</v>
      </c>
      <c r="S6" s="4" t="s">
        <v>72</v>
      </c>
      <c r="T6" s="1" t="s">
        <v>24</v>
      </c>
      <c r="U6" s="4" t="s">
        <v>72</v>
      </c>
      <c r="W6" t="s">
        <v>22</v>
      </c>
    </row>
    <row r="7" spans="1:23" x14ac:dyDescent="0.25">
      <c r="A7" t="s">
        <v>16</v>
      </c>
      <c r="B7">
        <v>1</v>
      </c>
      <c r="C7" s="33" t="s">
        <v>113</v>
      </c>
      <c r="D7"/>
      <c r="G7">
        <v>33</v>
      </c>
      <c r="I7">
        <f t="shared" si="0"/>
        <v>130</v>
      </c>
      <c r="J7">
        <v>13</v>
      </c>
      <c r="L7" s="35">
        <v>47</v>
      </c>
      <c r="P7" s="36">
        <f t="shared" si="1"/>
        <v>47</v>
      </c>
      <c r="R7" s="1"/>
      <c r="S7" s="4"/>
      <c r="T7" s="1"/>
      <c r="U7" s="4"/>
      <c r="W7" t="s">
        <v>23</v>
      </c>
    </row>
    <row r="8" spans="1:23" x14ac:dyDescent="0.25">
      <c r="A8" t="s">
        <v>106</v>
      </c>
      <c r="B8">
        <v>2</v>
      </c>
      <c r="C8" s="33" t="s">
        <v>113</v>
      </c>
      <c r="D8"/>
      <c r="G8">
        <v>33</v>
      </c>
      <c r="I8">
        <f t="shared" si="0"/>
        <v>260</v>
      </c>
      <c r="J8">
        <v>13</v>
      </c>
      <c r="L8" s="35">
        <v>47</v>
      </c>
      <c r="P8" s="36">
        <f t="shared" si="1"/>
        <v>94</v>
      </c>
      <c r="R8" s="1" t="s">
        <v>29</v>
      </c>
      <c r="S8" s="4"/>
      <c r="T8" s="1"/>
      <c r="U8" s="4"/>
      <c r="W8" t="s">
        <v>218</v>
      </c>
    </row>
    <row r="9" spans="1:23" x14ac:dyDescent="0.25">
      <c r="A9" t="s">
        <v>105</v>
      </c>
      <c r="B9">
        <v>1</v>
      </c>
      <c r="C9" s="33" t="s">
        <v>113</v>
      </c>
      <c r="D9"/>
      <c r="G9">
        <v>33</v>
      </c>
      <c r="I9">
        <f>130*B9</f>
        <v>130</v>
      </c>
      <c r="J9">
        <v>13</v>
      </c>
      <c r="L9" s="35">
        <v>47</v>
      </c>
      <c r="P9" s="36">
        <f t="shared" si="1"/>
        <v>47</v>
      </c>
      <c r="R9" s="1"/>
      <c r="S9" s="4"/>
      <c r="T9" s="1"/>
      <c r="U9" s="4"/>
      <c r="W9" t="s">
        <v>66</v>
      </c>
    </row>
    <row r="10" spans="1:23" x14ac:dyDescent="0.25">
      <c r="A10" t="s">
        <v>105</v>
      </c>
      <c r="B10">
        <v>1</v>
      </c>
      <c r="C10" s="33" t="s">
        <v>113</v>
      </c>
      <c r="D10"/>
      <c r="G10">
        <v>33</v>
      </c>
      <c r="I10">
        <f t="shared" ref="I10:I12" si="2">130*B10</f>
        <v>130</v>
      </c>
      <c r="J10">
        <v>13</v>
      </c>
      <c r="L10" s="35">
        <v>47</v>
      </c>
      <c r="P10" s="36">
        <f t="shared" si="1"/>
        <v>47</v>
      </c>
      <c r="R10" s="1" t="s">
        <v>73</v>
      </c>
      <c r="S10" s="31">
        <v>0.3</v>
      </c>
      <c r="T10" s="1" t="s">
        <v>74</v>
      </c>
      <c r="U10" s="31">
        <v>0.41</v>
      </c>
      <c r="W10" t="s">
        <v>101</v>
      </c>
    </row>
    <row r="11" spans="1:23" x14ac:dyDescent="0.25">
      <c r="A11" t="s">
        <v>105</v>
      </c>
      <c r="B11">
        <v>1</v>
      </c>
      <c r="C11" s="33" t="s">
        <v>113</v>
      </c>
      <c r="D11"/>
      <c r="G11">
        <v>33</v>
      </c>
      <c r="I11">
        <f t="shared" si="2"/>
        <v>130</v>
      </c>
      <c r="J11">
        <v>13</v>
      </c>
      <c r="L11" s="35">
        <v>47</v>
      </c>
      <c r="P11" s="36">
        <f t="shared" si="1"/>
        <v>47</v>
      </c>
      <c r="R11" s="1" t="s">
        <v>75</v>
      </c>
      <c r="S11" s="31">
        <v>0.25</v>
      </c>
      <c r="T11" s="1" t="s">
        <v>25</v>
      </c>
      <c r="U11" s="31">
        <v>0.64</v>
      </c>
      <c r="W11" t="s">
        <v>67</v>
      </c>
    </row>
    <row r="12" spans="1:23" x14ac:dyDescent="0.25">
      <c r="A12" t="s">
        <v>105</v>
      </c>
      <c r="B12">
        <v>1</v>
      </c>
      <c r="C12" s="33" t="s">
        <v>113</v>
      </c>
      <c r="D12"/>
      <c r="G12">
        <v>33</v>
      </c>
      <c r="I12">
        <f t="shared" si="2"/>
        <v>130</v>
      </c>
      <c r="J12">
        <v>13</v>
      </c>
      <c r="L12" s="35">
        <v>47</v>
      </c>
      <c r="P12" s="36">
        <f t="shared" si="1"/>
        <v>47</v>
      </c>
      <c r="R12" s="1" t="s">
        <v>76</v>
      </c>
      <c r="S12" s="31">
        <v>0.8</v>
      </c>
      <c r="T12" s="1" t="s">
        <v>26</v>
      </c>
      <c r="U12" s="31">
        <v>0.37</v>
      </c>
      <c r="W12" t="s">
        <v>68</v>
      </c>
    </row>
    <row r="13" spans="1:23" x14ac:dyDescent="0.25">
      <c r="A13" t="s">
        <v>14</v>
      </c>
      <c r="B13">
        <v>1</v>
      </c>
      <c r="C13" s="33" t="s">
        <v>112</v>
      </c>
      <c r="D13"/>
      <c r="G13">
        <v>14</v>
      </c>
      <c r="I13">
        <v>54</v>
      </c>
      <c r="J13">
        <v>5.7</v>
      </c>
      <c r="L13" s="35">
        <v>47</v>
      </c>
      <c r="P13" s="36">
        <f t="shared" si="1"/>
        <v>47</v>
      </c>
      <c r="R13" s="1" t="s">
        <v>27</v>
      </c>
      <c r="S13" s="31">
        <v>0.33</v>
      </c>
      <c r="T13" s="1" t="s">
        <v>28</v>
      </c>
      <c r="U13" s="31">
        <v>0.51</v>
      </c>
      <c r="W13" t="s">
        <v>69</v>
      </c>
    </row>
    <row r="14" spans="1:23" x14ac:dyDescent="0.25">
      <c r="A14" t="s">
        <v>14</v>
      </c>
      <c r="B14">
        <v>1</v>
      </c>
      <c r="C14" s="33" t="s">
        <v>112</v>
      </c>
      <c r="D14"/>
      <c r="G14">
        <v>14</v>
      </c>
      <c r="I14">
        <v>54</v>
      </c>
      <c r="J14">
        <v>5.7</v>
      </c>
      <c r="L14" s="35">
        <v>47</v>
      </c>
      <c r="P14" s="36">
        <f t="shared" si="1"/>
        <v>47</v>
      </c>
      <c r="R14" s="1" t="s">
        <v>30</v>
      </c>
      <c r="S14" s="31">
        <v>0.15</v>
      </c>
      <c r="T14" s="1" t="s">
        <v>31</v>
      </c>
      <c r="U14" s="31">
        <v>0.41</v>
      </c>
      <c r="W14" t="s">
        <v>70</v>
      </c>
    </row>
    <row r="15" spans="1:23" x14ac:dyDescent="0.25">
      <c r="A15" t="s">
        <v>107</v>
      </c>
      <c r="B15">
        <v>1</v>
      </c>
      <c r="C15" s="33" t="s">
        <v>112</v>
      </c>
      <c r="D15"/>
      <c r="G15">
        <v>14</v>
      </c>
      <c r="I15">
        <v>54</v>
      </c>
      <c r="J15">
        <v>5.7</v>
      </c>
      <c r="L15" s="35">
        <v>47</v>
      </c>
      <c r="P15" s="36">
        <f t="shared" ref="P15" si="3">L15*B15</f>
        <v>47</v>
      </c>
      <c r="R15" s="1" t="s">
        <v>77</v>
      </c>
      <c r="S15" s="31">
        <v>0.36</v>
      </c>
      <c r="T15" s="1" t="s">
        <v>135</v>
      </c>
      <c r="U15" s="31">
        <v>0.53</v>
      </c>
      <c r="W15" t="s">
        <v>71</v>
      </c>
    </row>
    <row r="16" spans="1:23" ht="15.75" thickBot="1" x14ac:dyDescent="0.3">
      <c r="A16" t="s">
        <v>155</v>
      </c>
      <c r="B16">
        <v>1</v>
      </c>
      <c r="C16" s="33"/>
      <c r="D16"/>
      <c r="L16" s="35">
        <v>200</v>
      </c>
      <c r="O16" s="37"/>
      <c r="P16" s="38">
        <f>B16*L16</f>
        <v>200</v>
      </c>
      <c r="R16" s="1" t="s">
        <v>32</v>
      </c>
      <c r="S16" s="31">
        <v>0.2</v>
      </c>
      <c r="T16" s="1" t="s">
        <v>33</v>
      </c>
      <c r="U16" s="31">
        <v>0.28000000000000003</v>
      </c>
    </row>
    <row r="17" spans="1:27" x14ac:dyDescent="0.25">
      <c r="A17" t="s">
        <v>154</v>
      </c>
      <c r="B17"/>
      <c r="D17"/>
      <c r="O17" t="s">
        <v>132</v>
      </c>
      <c r="P17" s="36">
        <f>SUM(P5:P16)</f>
        <v>811</v>
      </c>
      <c r="R17" s="1" t="s">
        <v>34</v>
      </c>
      <c r="S17" s="31">
        <v>0.2</v>
      </c>
      <c r="T17" s="1" t="s">
        <v>35</v>
      </c>
      <c r="U17" s="31">
        <v>1.23</v>
      </c>
      <c r="W17" s="16" t="s">
        <v>95</v>
      </c>
      <c r="X17" s="16" t="s">
        <v>94</v>
      </c>
      <c r="Y17" s="16" t="s">
        <v>17</v>
      </c>
      <c r="Z17" s="16" t="s">
        <v>96</v>
      </c>
      <c r="AA17" s="16" t="s">
        <v>12</v>
      </c>
    </row>
    <row r="18" spans="1:27" x14ac:dyDescent="0.25">
      <c r="A18" t="s">
        <v>126</v>
      </c>
      <c r="B18"/>
      <c r="D18"/>
      <c r="R18" s="1" t="s">
        <v>36</v>
      </c>
      <c r="S18" s="31" t="s">
        <v>37</v>
      </c>
      <c r="T18" s="1" t="s">
        <v>38</v>
      </c>
      <c r="U18" s="31">
        <v>0.45</v>
      </c>
      <c r="W18" s="16">
        <v>1</v>
      </c>
      <c r="X18" s="16">
        <v>30000</v>
      </c>
      <c r="Y18">
        <f>3600/W18</f>
        <v>3600</v>
      </c>
      <c r="Z18">
        <f>W18/3600</f>
        <v>2.7777777777777778E-4</v>
      </c>
    </row>
    <row r="19" spans="1:27" x14ac:dyDescent="0.25">
      <c r="A19" t="s">
        <v>110</v>
      </c>
      <c r="B19"/>
      <c r="D19"/>
      <c r="R19" s="1"/>
      <c r="S19" s="4"/>
      <c r="T19" s="1"/>
      <c r="U19" s="4"/>
      <c r="W19">
        <v>60</v>
      </c>
      <c r="X19" s="17">
        <f>X$18/W19</f>
        <v>500</v>
      </c>
      <c r="Y19">
        <f t="shared" ref="Y19:Y20" si="4">3600/W19</f>
        <v>60</v>
      </c>
      <c r="Z19">
        <f t="shared" ref="Z19:Z20" si="5">W19/3600</f>
        <v>1.6666666666666666E-2</v>
      </c>
    </row>
    <row r="20" spans="1:27" x14ac:dyDescent="0.25">
      <c r="B20"/>
      <c r="D20"/>
      <c r="R20" s="1" t="s">
        <v>43</v>
      </c>
      <c r="S20" s="4"/>
      <c r="T20" s="1"/>
      <c r="U20" s="4"/>
      <c r="W20">
        <v>600</v>
      </c>
      <c r="X20" s="17">
        <f>X$18/W20</f>
        <v>50</v>
      </c>
      <c r="Y20">
        <f t="shared" si="4"/>
        <v>6</v>
      </c>
      <c r="Z20">
        <f t="shared" si="5"/>
        <v>0.16666666666666666</v>
      </c>
    </row>
    <row r="21" spans="1:27" x14ac:dyDescent="0.25">
      <c r="A21" s="16" t="s">
        <v>18</v>
      </c>
      <c r="B21" s="18" t="s">
        <v>108</v>
      </c>
      <c r="C21" s="18" t="s">
        <v>109</v>
      </c>
      <c r="D21" s="18"/>
      <c r="E21" s="18"/>
      <c r="F21" s="18"/>
      <c r="G21" s="10" t="s">
        <v>182</v>
      </c>
      <c r="H21" s="18"/>
      <c r="I21" s="34" t="s">
        <v>156</v>
      </c>
      <c r="J21" s="18" t="s">
        <v>19</v>
      </c>
      <c r="K21" s="18"/>
      <c r="L21" s="22" t="s">
        <v>157</v>
      </c>
      <c r="M21" s="18"/>
      <c r="N21" s="18"/>
      <c r="O21" s="18"/>
      <c r="P21" s="18" t="s">
        <v>132</v>
      </c>
      <c r="R21" s="1"/>
      <c r="S21" s="4"/>
      <c r="T21" s="1"/>
      <c r="U21" s="4"/>
      <c r="W21" s="28">
        <v>900</v>
      </c>
      <c r="X21" s="27">
        <f>X$18/W21</f>
        <v>33.333333333333336</v>
      </c>
      <c r="Y21" s="28">
        <f t="shared" ref="Y21:Y23" si="6">3600/W21</f>
        <v>4</v>
      </c>
      <c r="Z21" s="28">
        <f>W21/3600</f>
        <v>0.25</v>
      </c>
      <c r="AA21" s="28" t="s">
        <v>100</v>
      </c>
    </row>
    <row r="22" spans="1:27" x14ac:dyDescent="0.25">
      <c r="A22" t="s">
        <v>139</v>
      </c>
      <c r="B22">
        <v>4</v>
      </c>
      <c r="C22" s="33" t="s">
        <v>113</v>
      </c>
      <c r="D22"/>
      <c r="G22">
        <v>33</v>
      </c>
      <c r="I22">
        <f t="shared" ref="I22:I31" si="7">130*B22</f>
        <v>520</v>
      </c>
      <c r="J22">
        <v>13</v>
      </c>
      <c r="L22" s="35">
        <v>47</v>
      </c>
      <c r="P22" s="36">
        <f t="shared" ref="P22:P31" si="8">L22*B22</f>
        <v>188</v>
      </c>
      <c r="R22" s="1" t="s">
        <v>39</v>
      </c>
      <c r="S22" s="31">
        <v>0.1</v>
      </c>
      <c r="T22" s="1" t="s">
        <v>40</v>
      </c>
      <c r="U22" s="31">
        <v>0.23</v>
      </c>
      <c r="W22">
        <v>1800</v>
      </c>
      <c r="X22" s="17">
        <f>X$18/W22</f>
        <v>16.666666666666668</v>
      </c>
      <c r="Y22">
        <f t="shared" si="6"/>
        <v>2</v>
      </c>
      <c r="Z22">
        <f>W22/3600</f>
        <v>0.5</v>
      </c>
    </row>
    <row r="23" spans="1:27" x14ac:dyDescent="0.25">
      <c r="A23" t="s">
        <v>140</v>
      </c>
      <c r="B23">
        <v>2</v>
      </c>
      <c r="C23" s="33" t="s">
        <v>113</v>
      </c>
      <c r="D23"/>
      <c r="G23">
        <v>33</v>
      </c>
      <c r="I23">
        <f t="shared" si="7"/>
        <v>260</v>
      </c>
      <c r="J23">
        <v>13</v>
      </c>
      <c r="L23" s="35">
        <v>47</v>
      </c>
      <c r="P23" s="36">
        <f t="shared" si="8"/>
        <v>94</v>
      </c>
      <c r="R23" s="1" t="s">
        <v>41</v>
      </c>
      <c r="S23" s="31">
        <v>0.2</v>
      </c>
      <c r="T23" s="1" t="s">
        <v>42</v>
      </c>
      <c r="U23" s="31">
        <v>0.8</v>
      </c>
      <c r="W23">
        <v>3600</v>
      </c>
      <c r="X23" s="17">
        <f>X$18/W23</f>
        <v>8.3333333333333339</v>
      </c>
      <c r="Y23">
        <f t="shared" si="6"/>
        <v>1</v>
      </c>
      <c r="Z23">
        <f>W23/3600</f>
        <v>1</v>
      </c>
    </row>
    <row r="24" spans="1:27" x14ac:dyDescent="0.25">
      <c r="A24" t="s">
        <v>141</v>
      </c>
      <c r="B24">
        <v>2</v>
      </c>
      <c r="C24" s="33" t="s">
        <v>113</v>
      </c>
      <c r="D24"/>
      <c r="G24">
        <v>33</v>
      </c>
      <c r="I24">
        <f t="shared" si="7"/>
        <v>260</v>
      </c>
      <c r="J24">
        <v>13</v>
      </c>
      <c r="L24" s="35">
        <v>47</v>
      </c>
      <c r="P24" s="36">
        <f t="shared" si="8"/>
        <v>94</v>
      </c>
      <c r="R24" s="1" t="s">
        <v>44</v>
      </c>
      <c r="S24" s="31">
        <v>0.08</v>
      </c>
      <c r="T24" s="1" t="s">
        <v>45</v>
      </c>
      <c r="U24" s="31">
        <v>0.52</v>
      </c>
      <c r="W24" t="s">
        <v>97</v>
      </c>
    </row>
    <row r="25" spans="1:27" x14ac:dyDescent="0.25">
      <c r="A25" t="s">
        <v>142</v>
      </c>
      <c r="B25">
        <v>1</v>
      </c>
      <c r="C25" s="33" t="s">
        <v>113</v>
      </c>
      <c r="D25"/>
      <c r="G25">
        <v>33</v>
      </c>
      <c r="I25">
        <f t="shared" si="7"/>
        <v>130</v>
      </c>
      <c r="J25">
        <v>13</v>
      </c>
      <c r="L25" s="35">
        <v>47</v>
      </c>
      <c r="P25" s="36">
        <f t="shared" si="8"/>
        <v>47</v>
      </c>
      <c r="R25" s="1" t="s">
        <v>46</v>
      </c>
      <c r="S25" s="31">
        <v>0.73</v>
      </c>
      <c r="T25" s="1" t="s">
        <v>47</v>
      </c>
      <c r="U25" s="31">
        <v>16</v>
      </c>
      <c r="W25" t="s">
        <v>98</v>
      </c>
    </row>
    <row r="26" spans="1:27" x14ac:dyDescent="0.25">
      <c r="A26" t="s">
        <v>9</v>
      </c>
      <c r="B26">
        <v>1</v>
      </c>
      <c r="C26" s="33" t="s">
        <v>113</v>
      </c>
      <c r="D26"/>
      <c r="G26">
        <v>33</v>
      </c>
      <c r="I26">
        <f t="shared" si="7"/>
        <v>130</v>
      </c>
      <c r="J26">
        <v>13</v>
      </c>
      <c r="L26" s="35">
        <v>47</v>
      </c>
      <c r="P26" s="36">
        <f t="shared" si="8"/>
        <v>47</v>
      </c>
      <c r="R26" s="1" t="s">
        <v>48</v>
      </c>
      <c r="S26" s="31">
        <v>0.75</v>
      </c>
      <c r="T26" s="1" t="s">
        <v>49</v>
      </c>
      <c r="U26" s="31">
        <v>0.73</v>
      </c>
      <c r="W26" t="s">
        <v>99</v>
      </c>
    </row>
    <row r="27" spans="1:27" x14ac:dyDescent="0.25">
      <c r="A27" t="s">
        <v>143</v>
      </c>
      <c r="B27">
        <v>1</v>
      </c>
      <c r="C27" s="33" t="s">
        <v>113</v>
      </c>
      <c r="D27"/>
      <c r="G27">
        <v>33</v>
      </c>
      <c r="I27">
        <f t="shared" si="7"/>
        <v>130</v>
      </c>
      <c r="J27">
        <v>13</v>
      </c>
      <c r="L27" s="35">
        <v>47</v>
      </c>
      <c r="P27" s="36">
        <f t="shared" si="8"/>
        <v>47</v>
      </c>
      <c r="R27" s="1"/>
      <c r="S27" s="4"/>
      <c r="T27" s="1"/>
      <c r="U27" s="4"/>
    </row>
    <row r="28" spans="1:27" x14ac:dyDescent="0.25">
      <c r="A28" t="s">
        <v>144</v>
      </c>
      <c r="B28">
        <v>1</v>
      </c>
      <c r="C28" s="33" t="s">
        <v>113</v>
      </c>
      <c r="D28"/>
      <c r="G28">
        <v>33</v>
      </c>
      <c r="I28">
        <f t="shared" si="7"/>
        <v>130</v>
      </c>
      <c r="J28">
        <v>13</v>
      </c>
      <c r="L28" s="35">
        <v>47</v>
      </c>
      <c r="P28" s="36">
        <f t="shared" si="8"/>
        <v>47</v>
      </c>
      <c r="R28" s="1" t="s">
        <v>78</v>
      </c>
      <c r="S28" s="4"/>
      <c r="T28" s="1"/>
      <c r="U28" s="4"/>
    </row>
    <row r="29" spans="1:27" x14ac:dyDescent="0.25">
      <c r="A29" t="s">
        <v>145</v>
      </c>
      <c r="B29">
        <v>1</v>
      </c>
      <c r="C29" s="33" t="s">
        <v>113</v>
      </c>
      <c r="D29"/>
      <c r="G29">
        <v>33</v>
      </c>
      <c r="I29">
        <f t="shared" si="7"/>
        <v>130</v>
      </c>
      <c r="J29">
        <v>13</v>
      </c>
      <c r="L29" s="35">
        <v>47</v>
      </c>
      <c r="P29" s="36">
        <f t="shared" si="8"/>
        <v>47</v>
      </c>
      <c r="R29" s="1"/>
      <c r="S29" s="4"/>
      <c r="T29" s="1"/>
      <c r="U29" s="4"/>
    </row>
    <row r="30" spans="1:27" x14ac:dyDescent="0.25">
      <c r="A30" t="s">
        <v>146</v>
      </c>
      <c r="B30">
        <v>2</v>
      </c>
      <c r="C30" s="33" t="s">
        <v>113</v>
      </c>
      <c r="D30"/>
      <c r="G30">
        <v>33</v>
      </c>
      <c r="I30">
        <f t="shared" si="7"/>
        <v>260</v>
      </c>
      <c r="J30">
        <v>13</v>
      </c>
      <c r="L30" s="35">
        <v>47</v>
      </c>
      <c r="P30" s="36">
        <f t="shared" si="8"/>
        <v>94</v>
      </c>
      <c r="R30" s="1" t="s">
        <v>79</v>
      </c>
      <c r="S30" s="31">
        <v>6.67</v>
      </c>
      <c r="T30" s="1" t="s">
        <v>50</v>
      </c>
      <c r="U30" s="31">
        <v>0.33</v>
      </c>
    </row>
    <row r="31" spans="1:27" x14ac:dyDescent="0.25">
      <c r="A31" t="s">
        <v>147</v>
      </c>
      <c r="B31">
        <v>3</v>
      </c>
      <c r="C31" s="33" t="s">
        <v>113</v>
      </c>
      <c r="D31"/>
      <c r="G31">
        <v>33</v>
      </c>
      <c r="I31">
        <f t="shared" si="7"/>
        <v>390</v>
      </c>
      <c r="J31">
        <v>13</v>
      </c>
      <c r="L31" s="35">
        <v>47</v>
      </c>
      <c r="P31" s="36">
        <f t="shared" si="8"/>
        <v>141</v>
      </c>
      <c r="R31" s="1" t="s">
        <v>51</v>
      </c>
      <c r="S31" s="31" t="s">
        <v>52</v>
      </c>
      <c r="T31" s="1" t="s">
        <v>80</v>
      </c>
      <c r="U31" s="31" t="s">
        <v>53</v>
      </c>
    </row>
    <row r="32" spans="1:27" x14ac:dyDescent="0.25">
      <c r="A32" t="s">
        <v>148</v>
      </c>
      <c r="B32">
        <v>2</v>
      </c>
      <c r="C32" s="33" t="s">
        <v>112</v>
      </c>
      <c r="D32"/>
      <c r="G32">
        <v>14</v>
      </c>
      <c r="I32">
        <v>54</v>
      </c>
      <c r="J32">
        <v>5.7</v>
      </c>
      <c r="L32" s="35">
        <v>47</v>
      </c>
      <c r="P32" s="36">
        <f t="shared" ref="P32:P38" si="9">L32*B32</f>
        <v>94</v>
      </c>
      <c r="R32" s="1" t="s">
        <v>54</v>
      </c>
      <c r="S32" s="31">
        <v>8</v>
      </c>
      <c r="T32" s="1" t="s">
        <v>81</v>
      </c>
      <c r="U32" s="31" t="s">
        <v>55</v>
      </c>
    </row>
    <row r="33" spans="1:21" x14ac:dyDescent="0.25">
      <c r="A33" t="s">
        <v>149</v>
      </c>
      <c r="B33">
        <v>2</v>
      </c>
      <c r="C33" s="33" t="s">
        <v>112</v>
      </c>
      <c r="D33"/>
      <c r="G33">
        <v>14</v>
      </c>
      <c r="I33">
        <v>54</v>
      </c>
      <c r="J33">
        <v>5.7</v>
      </c>
      <c r="L33" s="35">
        <v>47</v>
      </c>
      <c r="P33" s="36">
        <f t="shared" si="9"/>
        <v>94</v>
      </c>
      <c r="Q33" s="34"/>
      <c r="R33" s="1" t="s">
        <v>82</v>
      </c>
      <c r="S33" s="31" t="s">
        <v>56</v>
      </c>
      <c r="T33" s="1" t="s">
        <v>83</v>
      </c>
      <c r="U33" s="31">
        <v>0.87</v>
      </c>
    </row>
    <row r="34" spans="1:21" x14ac:dyDescent="0.25">
      <c r="A34" t="s">
        <v>150</v>
      </c>
      <c r="B34">
        <v>2</v>
      </c>
      <c r="C34" s="33" t="s">
        <v>112</v>
      </c>
      <c r="D34"/>
      <c r="G34">
        <v>14</v>
      </c>
      <c r="I34">
        <v>54</v>
      </c>
      <c r="J34">
        <v>5.7</v>
      </c>
      <c r="L34" s="35">
        <v>47</v>
      </c>
      <c r="P34" s="36">
        <f t="shared" si="9"/>
        <v>94</v>
      </c>
      <c r="Q34" s="35"/>
      <c r="R34" s="1"/>
      <c r="S34" s="4"/>
      <c r="T34" s="1"/>
      <c r="U34" s="4"/>
    </row>
    <row r="35" spans="1:21" x14ac:dyDescent="0.25">
      <c r="A35" t="s">
        <v>151</v>
      </c>
      <c r="B35">
        <v>2</v>
      </c>
      <c r="C35" s="33" t="s">
        <v>112</v>
      </c>
      <c r="D35"/>
      <c r="G35">
        <v>14</v>
      </c>
      <c r="I35">
        <v>54</v>
      </c>
      <c r="J35">
        <v>5.7</v>
      </c>
      <c r="L35" s="35">
        <v>47</v>
      </c>
      <c r="P35" s="36">
        <f t="shared" si="9"/>
        <v>94</v>
      </c>
      <c r="Q35" s="35"/>
      <c r="R35" s="1" t="s">
        <v>84</v>
      </c>
      <c r="S35" s="4"/>
      <c r="T35" s="1"/>
      <c r="U35" s="4"/>
    </row>
    <row r="36" spans="1:21" x14ac:dyDescent="0.25">
      <c r="A36" t="s">
        <v>152</v>
      </c>
      <c r="B36">
        <v>2</v>
      </c>
      <c r="C36" s="33" t="s">
        <v>112</v>
      </c>
      <c r="D36"/>
      <c r="G36">
        <v>14</v>
      </c>
      <c r="I36">
        <v>54</v>
      </c>
      <c r="J36">
        <v>5.7</v>
      </c>
      <c r="L36" s="35">
        <v>47</v>
      </c>
      <c r="P36" s="36">
        <f t="shared" si="9"/>
        <v>94</v>
      </c>
      <c r="Q36" s="35"/>
      <c r="R36" s="1"/>
      <c r="S36" s="4"/>
      <c r="T36" s="1"/>
      <c r="U36" s="4"/>
    </row>
    <row r="37" spans="1:21" x14ac:dyDescent="0.25">
      <c r="A37" t="s">
        <v>153</v>
      </c>
      <c r="B37">
        <v>4</v>
      </c>
      <c r="C37" s="33" t="s">
        <v>112</v>
      </c>
      <c r="D37"/>
      <c r="G37">
        <v>14</v>
      </c>
      <c r="I37">
        <v>54</v>
      </c>
      <c r="J37">
        <v>5.7</v>
      </c>
      <c r="L37" s="35">
        <v>47</v>
      </c>
      <c r="P37" s="36">
        <f t="shared" si="9"/>
        <v>188</v>
      </c>
      <c r="Q37" s="35"/>
      <c r="R37" s="1" t="s">
        <v>57</v>
      </c>
      <c r="S37" s="32" t="s">
        <v>89</v>
      </c>
      <c r="T37" s="1" t="s">
        <v>58</v>
      </c>
      <c r="U37" s="31">
        <v>7.3</v>
      </c>
    </row>
    <row r="38" spans="1:21" ht="15.75" thickBot="1" x14ac:dyDescent="0.3">
      <c r="A38" t="s">
        <v>155</v>
      </c>
      <c r="B38">
        <v>2</v>
      </c>
      <c r="D38"/>
      <c r="L38" s="35">
        <v>200</v>
      </c>
      <c r="O38" s="37"/>
      <c r="P38" s="38">
        <f t="shared" si="9"/>
        <v>400</v>
      </c>
      <c r="R38" s="1" t="s">
        <v>59</v>
      </c>
      <c r="S38" s="31">
        <v>0.93</v>
      </c>
      <c r="T38" s="1" t="s">
        <v>60</v>
      </c>
      <c r="U38" s="31">
        <v>1.22</v>
      </c>
    </row>
    <row r="39" spans="1:21" x14ac:dyDescent="0.25">
      <c r="A39" t="s">
        <v>154</v>
      </c>
      <c r="B39"/>
      <c r="D39"/>
      <c r="O39" t="s">
        <v>132</v>
      </c>
      <c r="P39" s="36">
        <f>SUM(P22:P38)</f>
        <v>1904</v>
      </c>
      <c r="R39" s="1"/>
      <c r="S39" s="4"/>
      <c r="T39" s="1"/>
      <c r="U39" s="4"/>
    </row>
    <row r="40" spans="1:21" x14ac:dyDescent="0.25">
      <c r="A40" t="s">
        <v>126</v>
      </c>
      <c r="B40"/>
      <c r="D40"/>
      <c r="R40" s="1" t="s">
        <v>61</v>
      </c>
      <c r="S40" s="31">
        <v>3.4</v>
      </c>
      <c r="T40" s="1" t="s">
        <v>62</v>
      </c>
      <c r="U40" s="31" t="s">
        <v>85</v>
      </c>
    </row>
    <row r="41" spans="1:21" x14ac:dyDescent="0.25">
      <c r="A41" t="s">
        <v>110</v>
      </c>
      <c r="B41" t="s">
        <v>127</v>
      </c>
      <c r="D41"/>
      <c r="R41" s="1"/>
      <c r="S41" s="4"/>
      <c r="T41" s="1"/>
      <c r="U41" s="4"/>
    </row>
    <row r="42" spans="1:21" x14ac:dyDescent="0.25">
      <c r="B42"/>
      <c r="D42"/>
      <c r="R42" s="1" t="s">
        <v>86</v>
      </c>
      <c r="S42" s="4"/>
      <c r="T42" s="1"/>
      <c r="U42" s="4"/>
    </row>
    <row r="43" spans="1:21" x14ac:dyDescent="0.25">
      <c r="A43" s="16" t="s">
        <v>18</v>
      </c>
      <c r="B43" s="18" t="s">
        <v>180</v>
      </c>
      <c r="C43" s="18" t="s">
        <v>181</v>
      </c>
      <c r="D43" s="18"/>
      <c r="E43" s="18"/>
      <c r="F43" s="18"/>
      <c r="G43" s="18" t="s">
        <v>182</v>
      </c>
      <c r="H43" s="18"/>
      <c r="I43" s="34" t="s">
        <v>156</v>
      </c>
      <c r="J43" s="18" t="s">
        <v>19</v>
      </c>
      <c r="K43" s="18"/>
      <c r="L43" s="22" t="s">
        <v>157</v>
      </c>
      <c r="M43" s="18"/>
      <c r="N43" s="18"/>
      <c r="O43" s="18"/>
      <c r="P43" s="18" t="s">
        <v>132</v>
      </c>
      <c r="R43" s="1"/>
      <c r="S43" s="4"/>
      <c r="T43" s="1"/>
      <c r="U43" s="4"/>
    </row>
    <row r="44" spans="1:21" x14ac:dyDescent="0.25">
      <c r="A44" t="s">
        <v>139</v>
      </c>
      <c r="B44">
        <v>4</v>
      </c>
      <c r="C44" s="1" t="s">
        <v>165</v>
      </c>
      <c r="D44"/>
      <c r="G44">
        <v>24</v>
      </c>
      <c r="I44">
        <f t="shared" ref="I44:I53" si="10">130*B44</f>
        <v>520</v>
      </c>
      <c r="J44">
        <v>17</v>
      </c>
      <c r="L44" s="35">
        <v>1800</v>
      </c>
      <c r="P44" s="36">
        <f t="shared" ref="P44:P60" si="11">L44*B44</f>
        <v>7200</v>
      </c>
      <c r="R44" s="1" t="s">
        <v>63</v>
      </c>
      <c r="S44" s="4">
        <v>1.6</v>
      </c>
      <c r="T44" s="1" t="s">
        <v>64</v>
      </c>
      <c r="U44" s="4">
        <v>4</v>
      </c>
    </row>
    <row r="45" spans="1:21" x14ac:dyDescent="0.25">
      <c r="A45" t="s">
        <v>140</v>
      </c>
      <c r="B45">
        <v>1</v>
      </c>
      <c r="C45" s="1" t="s">
        <v>164</v>
      </c>
      <c r="D45"/>
      <c r="G45">
        <v>24</v>
      </c>
      <c r="I45">
        <v>54</v>
      </c>
      <c r="J45">
        <v>8.5</v>
      </c>
      <c r="L45" s="35">
        <v>875</v>
      </c>
      <c r="P45" s="36">
        <f t="shared" si="11"/>
        <v>875</v>
      </c>
      <c r="R45" s="1" t="s">
        <v>65</v>
      </c>
      <c r="S45" s="4">
        <v>2.67</v>
      </c>
      <c r="T45" s="1" t="s">
        <v>87</v>
      </c>
      <c r="U45" s="4">
        <v>1.6</v>
      </c>
    </row>
    <row r="46" spans="1:21" x14ac:dyDescent="0.25">
      <c r="A46" t="s">
        <v>141</v>
      </c>
      <c r="B46">
        <v>1</v>
      </c>
      <c r="C46" s="1" t="s">
        <v>164</v>
      </c>
      <c r="D46"/>
      <c r="G46">
        <v>24</v>
      </c>
      <c r="I46">
        <v>54</v>
      </c>
      <c r="J46">
        <v>8.5</v>
      </c>
      <c r="L46" s="35">
        <v>875</v>
      </c>
      <c r="P46" s="36">
        <f t="shared" si="11"/>
        <v>875</v>
      </c>
      <c r="S46" s="19"/>
      <c r="U46" s="19"/>
    </row>
    <row r="47" spans="1:21" x14ac:dyDescent="0.25">
      <c r="A47" t="s">
        <v>142</v>
      </c>
      <c r="B47">
        <v>1</v>
      </c>
      <c r="C47" s="1" t="s">
        <v>164</v>
      </c>
      <c r="D47"/>
      <c r="G47">
        <v>24</v>
      </c>
      <c r="I47">
        <v>54</v>
      </c>
      <c r="J47">
        <v>8.5</v>
      </c>
      <c r="L47" s="35">
        <v>875</v>
      </c>
      <c r="P47" s="36">
        <f t="shared" si="11"/>
        <v>875</v>
      </c>
      <c r="R47" t="s">
        <v>93</v>
      </c>
      <c r="S47" s="19"/>
      <c r="U47" s="19"/>
    </row>
    <row r="48" spans="1:21" x14ac:dyDescent="0.25">
      <c r="A48" t="s">
        <v>9</v>
      </c>
      <c r="B48">
        <v>1</v>
      </c>
      <c r="C48" s="1" t="s">
        <v>164</v>
      </c>
      <c r="D48"/>
      <c r="G48">
        <v>24</v>
      </c>
      <c r="I48">
        <v>54</v>
      </c>
      <c r="J48">
        <v>8.5</v>
      </c>
      <c r="L48" s="35">
        <v>875</v>
      </c>
      <c r="P48" s="36">
        <f t="shared" si="11"/>
        <v>875</v>
      </c>
      <c r="S48" s="19"/>
      <c r="U48" s="19"/>
    </row>
    <row r="49" spans="1:18" x14ac:dyDescent="0.25">
      <c r="A49" t="s">
        <v>143</v>
      </c>
      <c r="B49">
        <v>1</v>
      </c>
      <c r="C49" s="1" t="s">
        <v>164</v>
      </c>
      <c r="D49"/>
      <c r="G49">
        <v>24</v>
      </c>
      <c r="I49">
        <v>54</v>
      </c>
      <c r="J49">
        <v>8.5</v>
      </c>
      <c r="L49" s="35">
        <v>875</v>
      </c>
      <c r="P49" s="36">
        <f t="shared" si="11"/>
        <v>875</v>
      </c>
      <c r="R49" s="29" t="s">
        <v>91</v>
      </c>
    </row>
    <row r="50" spans="1:18" x14ac:dyDescent="0.25">
      <c r="A50" t="s">
        <v>144</v>
      </c>
      <c r="B50">
        <v>1</v>
      </c>
      <c r="C50" s="1" t="s">
        <v>164</v>
      </c>
      <c r="D50"/>
      <c r="G50">
        <v>24</v>
      </c>
      <c r="I50">
        <v>54</v>
      </c>
      <c r="J50">
        <v>8.5</v>
      </c>
      <c r="L50" s="35">
        <v>875</v>
      </c>
      <c r="P50" s="36">
        <f t="shared" si="11"/>
        <v>875</v>
      </c>
      <c r="R50" s="29" t="s">
        <v>92</v>
      </c>
    </row>
    <row r="51" spans="1:18" x14ac:dyDescent="0.25">
      <c r="A51" t="s">
        <v>145</v>
      </c>
      <c r="B51">
        <v>1</v>
      </c>
      <c r="C51" s="1" t="s">
        <v>164</v>
      </c>
      <c r="D51"/>
      <c r="G51">
        <v>24</v>
      </c>
      <c r="I51">
        <v>54</v>
      </c>
      <c r="J51">
        <v>8.5</v>
      </c>
      <c r="L51" s="35">
        <v>875</v>
      </c>
      <c r="P51" s="36">
        <f t="shared" si="11"/>
        <v>875</v>
      </c>
      <c r="R51" s="29" t="s">
        <v>90</v>
      </c>
    </row>
    <row r="52" spans="1:18" x14ac:dyDescent="0.25">
      <c r="A52" t="s">
        <v>146</v>
      </c>
      <c r="B52">
        <v>2</v>
      </c>
      <c r="C52" s="1" t="s">
        <v>164</v>
      </c>
      <c r="D52"/>
      <c r="G52">
        <v>24</v>
      </c>
      <c r="I52">
        <v>54</v>
      </c>
      <c r="J52">
        <v>8.5</v>
      </c>
      <c r="L52" s="35">
        <v>875</v>
      </c>
      <c r="P52" s="36">
        <f t="shared" si="11"/>
        <v>1750</v>
      </c>
    </row>
    <row r="53" spans="1:18" x14ac:dyDescent="0.25">
      <c r="A53" t="s">
        <v>147</v>
      </c>
      <c r="B53">
        <v>2</v>
      </c>
      <c r="C53" s="1" t="s">
        <v>165</v>
      </c>
      <c r="D53"/>
      <c r="G53">
        <v>24</v>
      </c>
      <c r="I53">
        <f t="shared" si="10"/>
        <v>260</v>
      </c>
      <c r="J53">
        <v>17</v>
      </c>
      <c r="L53" s="35">
        <v>1800</v>
      </c>
      <c r="P53" s="36">
        <f t="shared" si="11"/>
        <v>3600</v>
      </c>
    </row>
    <row r="54" spans="1:18" x14ac:dyDescent="0.25">
      <c r="A54" t="s">
        <v>148</v>
      </c>
      <c r="B54">
        <v>2</v>
      </c>
      <c r="C54" s="1" t="s">
        <v>164</v>
      </c>
      <c r="D54"/>
      <c r="G54">
        <v>24</v>
      </c>
      <c r="I54">
        <v>54</v>
      </c>
      <c r="J54">
        <v>8.5</v>
      </c>
      <c r="L54" s="35">
        <v>875</v>
      </c>
      <c r="P54" s="36">
        <f t="shared" si="11"/>
        <v>1750</v>
      </c>
    </row>
    <row r="55" spans="1:18" x14ac:dyDescent="0.25">
      <c r="A55" t="s">
        <v>149</v>
      </c>
      <c r="B55">
        <v>2</v>
      </c>
      <c r="C55" s="1" t="s">
        <v>164</v>
      </c>
      <c r="D55"/>
      <c r="G55">
        <v>24</v>
      </c>
      <c r="I55">
        <v>54</v>
      </c>
      <c r="J55">
        <v>8.5</v>
      </c>
      <c r="L55" s="35">
        <v>875</v>
      </c>
      <c r="P55" s="36">
        <f t="shared" si="11"/>
        <v>1750</v>
      </c>
    </row>
    <row r="56" spans="1:18" x14ac:dyDescent="0.25">
      <c r="A56" t="s">
        <v>150</v>
      </c>
      <c r="B56">
        <v>2</v>
      </c>
      <c r="C56" s="1" t="s">
        <v>164</v>
      </c>
      <c r="D56"/>
      <c r="G56">
        <v>24</v>
      </c>
      <c r="I56">
        <v>54</v>
      </c>
      <c r="J56">
        <v>8.5</v>
      </c>
      <c r="L56" s="35">
        <v>875</v>
      </c>
      <c r="P56" s="36">
        <f t="shared" si="11"/>
        <v>1750</v>
      </c>
    </row>
    <row r="57" spans="1:18" x14ac:dyDescent="0.25">
      <c r="A57" t="s">
        <v>151</v>
      </c>
      <c r="B57">
        <v>2</v>
      </c>
      <c r="C57" s="1" t="s">
        <v>164</v>
      </c>
      <c r="D57"/>
      <c r="G57">
        <v>24</v>
      </c>
      <c r="I57">
        <v>54</v>
      </c>
      <c r="J57">
        <v>8.5</v>
      </c>
      <c r="L57" s="35">
        <v>875</v>
      </c>
      <c r="P57" s="36">
        <f t="shared" si="11"/>
        <v>1750</v>
      </c>
    </row>
    <row r="58" spans="1:18" x14ac:dyDescent="0.25">
      <c r="A58" t="s">
        <v>152</v>
      </c>
      <c r="B58">
        <v>2</v>
      </c>
      <c r="C58" s="1" t="s">
        <v>164</v>
      </c>
      <c r="D58"/>
      <c r="G58">
        <v>24</v>
      </c>
      <c r="I58">
        <v>54</v>
      </c>
      <c r="J58">
        <v>8.5</v>
      </c>
      <c r="L58" s="35">
        <v>875</v>
      </c>
      <c r="P58" s="36">
        <f t="shared" si="11"/>
        <v>1750</v>
      </c>
    </row>
    <row r="59" spans="1:18" x14ac:dyDescent="0.25">
      <c r="A59" t="s">
        <v>153</v>
      </c>
      <c r="B59">
        <v>2</v>
      </c>
      <c r="C59" s="1" t="s">
        <v>164</v>
      </c>
      <c r="D59"/>
      <c r="G59">
        <v>24</v>
      </c>
      <c r="I59">
        <v>54</v>
      </c>
      <c r="J59">
        <v>8.5</v>
      </c>
      <c r="L59" s="35">
        <v>875</v>
      </c>
      <c r="P59" s="36">
        <f t="shared" si="11"/>
        <v>1750</v>
      </c>
    </row>
    <row r="60" spans="1:18" ht="15.75" thickBot="1" x14ac:dyDescent="0.3">
      <c r="A60" t="s">
        <v>155</v>
      </c>
      <c r="B60">
        <v>2</v>
      </c>
      <c r="D60"/>
      <c r="L60" s="35">
        <v>200</v>
      </c>
      <c r="O60" s="37"/>
      <c r="P60" s="38">
        <f t="shared" si="11"/>
        <v>400</v>
      </c>
    </row>
    <row r="61" spans="1:18" x14ac:dyDescent="0.25">
      <c r="A61" t="s">
        <v>268</v>
      </c>
      <c r="B61"/>
      <c r="D61"/>
      <c r="O61" t="s">
        <v>132</v>
      </c>
      <c r="P61" s="36">
        <f>SUM(P44:P60)</f>
        <v>29575</v>
      </c>
      <c r="R61">
        <f>P61/P39</f>
        <v>15.533088235294118</v>
      </c>
    </row>
    <row r="62" spans="1:18" x14ac:dyDescent="0.25">
      <c r="A62" t="s">
        <v>170</v>
      </c>
    </row>
    <row r="63" spans="1:18" x14ac:dyDescent="0.25">
      <c r="A63" t="s">
        <v>169</v>
      </c>
    </row>
    <row r="66" spans="1:16" x14ac:dyDescent="0.25">
      <c r="A66" t="s">
        <v>126</v>
      </c>
      <c r="B66" t="s">
        <v>127</v>
      </c>
      <c r="D66"/>
      <c r="G66" t="s">
        <v>274</v>
      </c>
    </row>
    <row r="67" spans="1:16" x14ac:dyDescent="0.25">
      <c r="A67" t="s">
        <v>110</v>
      </c>
      <c r="B67"/>
      <c r="D67"/>
    </row>
    <row r="68" spans="1:16" ht="45" x14ac:dyDescent="0.25">
      <c r="A68" s="34" t="s">
        <v>125</v>
      </c>
      <c r="B68" s="34" t="s">
        <v>117</v>
      </c>
      <c r="C68" s="34" t="s">
        <v>118</v>
      </c>
      <c r="D68" s="34" t="s">
        <v>136</v>
      </c>
      <c r="E68" s="34" t="s">
        <v>119</v>
      </c>
      <c r="F68" s="34" t="s">
        <v>120</v>
      </c>
      <c r="G68" s="34" t="s">
        <v>121</v>
      </c>
      <c r="H68" s="34" t="s">
        <v>122</v>
      </c>
      <c r="I68" s="34" t="s">
        <v>124</v>
      </c>
      <c r="J68" s="33" t="s">
        <v>111</v>
      </c>
      <c r="K68" s="34" t="s">
        <v>123</v>
      </c>
      <c r="L68" s="34" t="s">
        <v>133</v>
      </c>
      <c r="M68" s="34" t="s">
        <v>129</v>
      </c>
      <c r="N68" s="34" t="s">
        <v>130</v>
      </c>
      <c r="O68" s="34" t="s">
        <v>131</v>
      </c>
      <c r="P68" s="34" t="s">
        <v>132</v>
      </c>
    </row>
    <row r="69" spans="1:16" x14ac:dyDescent="0.25">
      <c r="A69" s="33" t="s">
        <v>112</v>
      </c>
      <c r="B69" s="33">
        <v>15</v>
      </c>
      <c r="C69" s="33">
        <v>357</v>
      </c>
      <c r="D69" s="25">
        <f>C69*0.0393701</f>
        <v>14.0551257</v>
      </c>
      <c r="E69" s="33">
        <v>277</v>
      </c>
      <c r="F69" s="33">
        <v>17</v>
      </c>
      <c r="G69" s="33">
        <v>425</v>
      </c>
      <c r="H69" s="33">
        <v>51</v>
      </c>
      <c r="I69" s="33">
        <v>54</v>
      </c>
      <c r="J69" s="33">
        <v>5.7</v>
      </c>
      <c r="K69" s="33">
        <v>9000</v>
      </c>
      <c r="L69" s="35">
        <v>10</v>
      </c>
      <c r="M69" s="35">
        <v>1</v>
      </c>
      <c r="N69" s="35">
        <v>11</v>
      </c>
      <c r="O69" s="35">
        <v>25</v>
      </c>
      <c r="P69" s="35">
        <f>SUM(L69:O69)</f>
        <v>47</v>
      </c>
    </row>
    <row r="70" spans="1:16" x14ac:dyDescent="0.25">
      <c r="A70" s="33" t="s">
        <v>113</v>
      </c>
      <c r="B70" s="33">
        <v>15</v>
      </c>
      <c r="C70" s="33">
        <v>843</v>
      </c>
      <c r="D70" s="25">
        <f t="shared" ref="D70:D72" si="12">C70*0.0393701</f>
        <v>33.188994299999997</v>
      </c>
      <c r="E70" s="33">
        <v>763</v>
      </c>
      <c r="F70" s="33">
        <v>41</v>
      </c>
      <c r="G70" s="33">
        <v>425</v>
      </c>
      <c r="H70" s="33">
        <v>120</v>
      </c>
      <c r="I70" s="33">
        <v>130</v>
      </c>
      <c r="J70" s="33">
        <v>13</v>
      </c>
      <c r="K70" s="33">
        <v>9000</v>
      </c>
      <c r="L70" s="35">
        <v>10</v>
      </c>
      <c r="M70" s="35">
        <v>1</v>
      </c>
      <c r="N70" s="35">
        <v>11</v>
      </c>
      <c r="O70" s="35">
        <v>25</v>
      </c>
      <c r="P70" s="35">
        <f t="shared" ref="P70:P72" si="13">SUM(L70:O70)</f>
        <v>47</v>
      </c>
    </row>
    <row r="71" spans="1:16" x14ac:dyDescent="0.25">
      <c r="A71" s="33" t="s">
        <v>114</v>
      </c>
      <c r="B71" s="33">
        <v>15</v>
      </c>
      <c r="C71" s="33">
        <v>1148</v>
      </c>
      <c r="D71" s="25">
        <f t="shared" si="12"/>
        <v>45.196874799999996</v>
      </c>
      <c r="E71" s="33">
        <v>1068</v>
      </c>
      <c r="F71" s="33">
        <v>55</v>
      </c>
      <c r="G71" s="33">
        <v>425</v>
      </c>
      <c r="H71" s="33">
        <v>165</v>
      </c>
      <c r="I71" s="33">
        <v>170</v>
      </c>
      <c r="J71" s="33">
        <v>18</v>
      </c>
      <c r="K71" s="33">
        <v>9000</v>
      </c>
      <c r="L71" s="35">
        <v>10</v>
      </c>
      <c r="M71" s="35">
        <v>1</v>
      </c>
      <c r="N71" s="35">
        <v>11</v>
      </c>
      <c r="O71" s="35">
        <v>25</v>
      </c>
      <c r="P71" s="35">
        <f t="shared" si="13"/>
        <v>47</v>
      </c>
    </row>
    <row r="72" spans="1:16" x14ac:dyDescent="0.25">
      <c r="A72" s="33" t="s">
        <v>115</v>
      </c>
      <c r="B72" s="33">
        <v>15</v>
      </c>
      <c r="C72" s="33">
        <v>1554</v>
      </c>
      <c r="D72" s="25">
        <f t="shared" si="12"/>
        <v>61.181135399999995</v>
      </c>
      <c r="E72" s="33">
        <v>1474</v>
      </c>
      <c r="F72" s="33">
        <v>75</v>
      </c>
      <c r="G72" s="33">
        <v>425</v>
      </c>
      <c r="H72" s="33">
        <v>220</v>
      </c>
      <c r="I72" s="33">
        <v>225</v>
      </c>
      <c r="J72" s="33">
        <v>24</v>
      </c>
      <c r="K72" s="33">
        <v>9000</v>
      </c>
      <c r="L72" t="s">
        <v>128</v>
      </c>
      <c r="M72" s="35">
        <v>1</v>
      </c>
      <c r="N72" s="35">
        <v>25</v>
      </c>
      <c r="O72" s="35">
        <v>25</v>
      </c>
      <c r="P72" s="35">
        <f t="shared" si="13"/>
        <v>51</v>
      </c>
    </row>
    <row r="73" spans="1:16" x14ac:dyDescent="0.25">
      <c r="A73" s="29" t="s">
        <v>134</v>
      </c>
      <c r="B73"/>
      <c r="D73"/>
    </row>
    <row r="74" spans="1:16" x14ac:dyDescent="0.25">
      <c r="A74" s="33" t="s">
        <v>137</v>
      </c>
    </row>
    <row r="76" spans="1:16" x14ac:dyDescent="0.25">
      <c r="A76" t="s">
        <v>170</v>
      </c>
    </row>
    <row r="77" spans="1:16" x14ac:dyDescent="0.25">
      <c r="A77" t="s">
        <v>169</v>
      </c>
    </row>
    <row r="78" spans="1:16" ht="60" x14ac:dyDescent="0.25">
      <c r="A78" s="34" t="s">
        <v>158</v>
      </c>
      <c r="B78" s="34" t="s">
        <v>159</v>
      </c>
      <c r="C78" s="34" t="s">
        <v>163</v>
      </c>
      <c r="D78" s="34" t="s">
        <v>168</v>
      </c>
      <c r="E78" s="34" t="s">
        <v>167</v>
      </c>
      <c r="F78" s="34" t="s">
        <v>166</v>
      </c>
      <c r="G78" s="34" t="s">
        <v>160</v>
      </c>
      <c r="H78" s="34" t="s">
        <v>161</v>
      </c>
      <c r="I78" s="34" t="s">
        <v>162</v>
      </c>
    </row>
    <row r="79" spans="1:16" ht="15" customHeight="1" x14ac:dyDescent="0.25">
      <c r="A79" s="6" t="s">
        <v>164</v>
      </c>
      <c r="B79" s="6">
        <v>120</v>
      </c>
      <c r="C79" s="6">
        <v>1</v>
      </c>
      <c r="D79" s="6">
        <v>31</v>
      </c>
      <c r="E79" s="6">
        <v>8.5</v>
      </c>
      <c r="F79" s="6">
        <v>24</v>
      </c>
      <c r="G79" s="40">
        <v>5.34375</v>
      </c>
      <c r="H79" s="40">
        <v>7.875</v>
      </c>
      <c r="I79" s="39">
        <v>875</v>
      </c>
    </row>
    <row r="80" spans="1:16" ht="30" x14ac:dyDescent="0.25">
      <c r="A80" s="6" t="s">
        <v>165</v>
      </c>
      <c r="B80" s="6">
        <v>120</v>
      </c>
      <c r="C80" s="6">
        <v>2</v>
      </c>
      <c r="D80" s="6">
        <v>61</v>
      </c>
      <c r="E80" s="6">
        <v>17</v>
      </c>
      <c r="F80" s="6">
        <v>24</v>
      </c>
      <c r="G80" s="40">
        <v>10.5313</v>
      </c>
      <c r="H80" s="40">
        <v>7.875</v>
      </c>
      <c r="I80" s="39">
        <v>1800</v>
      </c>
    </row>
    <row r="81" spans="1:9" x14ac:dyDescent="0.25">
      <c r="A81" s="6"/>
      <c r="B81" s="6"/>
      <c r="C81" s="6"/>
      <c r="D81" s="6"/>
      <c r="E81" s="6"/>
      <c r="F81" s="6"/>
      <c r="G81" s="40"/>
      <c r="H81" s="40"/>
      <c r="I81" s="39"/>
    </row>
    <row r="82" spans="1:9" ht="15" customHeight="1" x14ac:dyDescent="0.25">
      <c r="A82" t="s">
        <v>256</v>
      </c>
    </row>
    <row r="83" spans="1:9" ht="15" customHeight="1" x14ac:dyDescent="0.25">
      <c r="A83" s="1"/>
    </row>
    <row r="84" spans="1:9" ht="15" customHeight="1" x14ac:dyDescent="0.25"/>
    <row r="85" spans="1:9" x14ac:dyDescent="0.25">
      <c r="A85" s="1" t="s">
        <v>171</v>
      </c>
      <c r="B85" s="6"/>
      <c r="C85" s="6"/>
      <c r="D85" s="6"/>
      <c r="E85" s="6"/>
      <c r="F85" s="6"/>
      <c r="G85" s="6"/>
      <c r="H85" s="6"/>
      <c r="I85" s="6"/>
    </row>
    <row r="86" spans="1:9" x14ac:dyDescent="0.25">
      <c r="A86" t="s">
        <v>172</v>
      </c>
    </row>
    <row r="87" spans="1:9" x14ac:dyDescent="0.25">
      <c r="A87" t="s">
        <v>176</v>
      </c>
    </row>
    <row r="88" spans="1:9" x14ac:dyDescent="0.25">
      <c r="A88" t="s">
        <v>173</v>
      </c>
    </row>
    <row r="89" spans="1:9" x14ac:dyDescent="0.25">
      <c r="A89" t="s">
        <v>174</v>
      </c>
    </row>
    <row r="90" spans="1:9" x14ac:dyDescent="0.25">
      <c r="A90" t="s">
        <v>175</v>
      </c>
    </row>
    <row r="91" spans="1:9" x14ac:dyDescent="0.25">
      <c r="A91" t="s">
        <v>177</v>
      </c>
    </row>
    <row r="92" spans="1:9" x14ac:dyDescent="0.25">
      <c r="A92" t="s">
        <v>178</v>
      </c>
    </row>
    <row r="93" spans="1:9" x14ac:dyDescent="0.25">
      <c r="A93" t="s">
        <v>179</v>
      </c>
    </row>
    <row r="95" spans="1:9" x14ac:dyDescent="0.25">
      <c r="A95" t="s">
        <v>217</v>
      </c>
    </row>
    <row r="96" spans="1:9" x14ac:dyDescent="0.25">
      <c r="A96" t="s">
        <v>183</v>
      </c>
    </row>
    <row r="97" spans="1:12" x14ac:dyDescent="0.25">
      <c r="A97" s="11" t="s">
        <v>184</v>
      </c>
      <c r="B97" s="11" t="s">
        <v>185</v>
      </c>
      <c r="C97" s="11"/>
      <c r="D97" s="11"/>
      <c r="E97" s="11" t="s">
        <v>186</v>
      </c>
      <c r="F97" s="11"/>
      <c r="G97" s="11"/>
      <c r="H97" s="11" t="s">
        <v>187</v>
      </c>
      <c r="I97" s="11"/>
      <c r="J97" s="11"/>
      <c r="K97" s="11" t="s">
        <v>188</v>
      </c>
      <c r="L97" s="11"/>
    </row>
    <row r="98" spans="1:12" x14ac:dyDescent="0.25">
      <c r="A98" s="11" t="s">
        <v>189</v>
      </c>
      <c r="B98" s="11" t="s">
        <v>190</v>
      </c>
      <c r="C98" s="11"/>
      <c r="D98" s="11"/>
      <c r="E98" s="11" t="s">
        <v>191</v>
      </c>
      <c r="F98" s="11"/>
      <c r="G98" s="11"/>
      <c r="H98" s="11" t="s">
        <v>192</v>
      </c>
      <c r="I98" s="11"/>
      <c r="J98" s="11"/>
      <c r="K98" s="11" t="s">
        <v>193</v>
      </c>
      <c r="L98" s="11"/>
    </row>
    <row r="99" spans="1:12" x14ac:dyDescent="0.25">
      <c r="A99" s="11" t="s">
        <v>194</v>
      </c>
      <c r="B99" s="11" t="s">
        <v>195</v>
      </c>
      <c r="C99" s="11"/>
      <c r="D99" s="11"/>
      <c r="E99" s="11" t="s">
        <v>195</v>
      </c>
      <c r="F99" s="11"/>
      <c r="G99" s="11"/>
      <c r="H99" s="11" t="s">
        <v>195</v>
      </c>
      <c r="I99" s="11"/>
      <c r="J99" s="11"/>
      <c r="K99" s="11" t="s">
        <v>196</v>
      </c>
      <c r="L99" s="11"/>
    </row>
    <row r="100" spans="1:12" x14ac:dyDescent="0.25">
      <c r="A100" s="11" t="s">
        <v>197</v>
      </c>
      <c r="B100" s="11" t="s">
        <v>198</v>
      </c>
      <c r="C100" s="11"/>
      <c r="D100" s="11"/>
      <c r="E100" s="11" t="s">
        <v>199</v>
      </c>
      <c r="F100" s="11"/>
      <c r="G100" s="11"/>
      <c r="H100" s="11" t="s">
        <v>200</v>
      </c>
      <c r="I100" s="11"/>
      <c r="J100" s="11"/>
      <c r="K100" s="11" t="s">
        <v>201</v>
      </c>
      <c r="L100" s="11"/>
    </row>
    <row r="101" spans="1:12" x14ac:dyDescent="0.25">
      <c r="A101" s="11" t="s">
        <v>202</v>
      </c>
      <c r="B101" s="11" t="s">
        <v>203</v>
      </c>
      <c r="C101" s="11"/>
      <c r="D101" s="11"/>
      <c r="E101" s="11" t="s">
        <v>203</v>
      </c>
      <c r="F101" s="11"/>
      <c r="G101" s="11"/>
      <c r="H101" s="11" t="s">
        <v>203</v>
      </c>
      <c r="I101" s="11"/>
      <c r="J101" s="11"/>
      <c r="K101" s="11" t="s">
        <v>204</v>
      </c>
      <c r="L101" s="11"/>
    </row>
    <row r="102" spans="1:12" x14ac:dyDescent="0.25">
      <c r="A102" s="11" t="s">
        <v>209</v>
      </c>
      <c r="B102" s="11" t="s">
        <v>210</v>
      </c>
      <c r="C102" s="11"/>
      <c r="D102" s="11"/>
      <c r="E102" s="11" t="s">
        <v>211</v>
      </c>
      <c r="F102" s="11"/>
      <c r="G102" s="11"/>
      <c r="H102" s="11" t="s">
        <v>212</v>
      </c>
      <c r="I102" s="11"/>
      <c r="J102" s="11"/>
      <c r="K102" s="11" t="s">
        <v>211</v>
      </c>
      <c r="L102" s="11"/>
    </row>
    <row r="103" spans="1:12" x14ac:dyDescent="0.25">
      <c r="I103" s="11"/>
      <c r="J103" s="11"/>
      <c r="K103" s="11"/>
      <c r="L103" s="11"/>
    </row>
    <row r="104" spans="1:12" x14ac:dyDescent="0.25">
      <c r="A104" s="11" t="s">
        <v>205</v>
      </c>
      <c r="B104" s="11" t="s">
        <v>206</v>
      </c>
      <c r="C104" s="11"/>
      <c r="D104" s="11"/>
      <c r="E104" s="11"/>
      <c r="F104" s="11"/>
      <c r="G104" s="11"/>
      <c r="H104" s="11"/>
      <c r="I104" s="11"/>
      <c r="J104" s="11"/>
      <c r="K104" s="11"/>
      <c r="L104" s="11"/>
    </row>
    <row r="105" spans="1:12" x14ac:dyDescent="0.25">
      <c r="A105" s="11" t="s">
        <v>207</v>
      </c>
      <c r="B105" s="11" t="s">
        <v>208</v>
      </c>
      <c r="C105" s="11"/>
      <c r="D105" s="11"/>
      <c r="E105" s="11"/>
      <c r="F105" s="11"/>
      <c r="G105" s="11"/>
      <c r="H105" s="11"/>
    </row>
    <row r="106" spans="1:12" x14ac:dyDescent="0.25">
      <c r="A106" s="11" t="s">
        <v>213</v>
      </c>
      <c r="B106" s="11" t="s">
        <v>214</v>
      </c>
      <c r="C106" s="11"/>
      <c r="D106" s="11"/>
      <c r="E106" s="11"/>
      <c r="F106" s="11"/>
      <c r="G106" s="11"/>
      <c r="H106" s="11"/>
      <c r="I106" s="11"/>
      <c r="J106" s="11"/>
      <c r="K106" s="11"/>
      <c r="L106" s="11"/>
    </row>
    <row r="107" spans="1:12" x14ac:dyDescent="0.25">
      <c r="A107" s="11"/>
      <c r="B107" s="11" t="s">
        <v>215</v>
      </c>
      <c r="C107" s="11"/>
      <c r="D107" s="11"/>
      <c r="E107" s="11"/>
      <c r="F107" s="11"/>
      <c r="G107" s="11"/>
      <c r="H107" s="11"/>
      <c r="I107" s="11"/>
      <c r="J107" s="11"/>
      <c r="K107" s="11"/>
      <c r="L107" s="11"/>
    </row>
    <row r="108" spans="1:12" x14ac:dyDescent="0.25">
      <c r="A108" s="11" t="s">
        <v>216</v>
      </c>
      <c r="B108" s="11"/>
      <c r="C108" s="11"/>
      <c r="D108" s="11"/>
      <c r="E108" s="11"/>
      <c r="F108" s="11"/>
      <c r="G108" s="11"/>
      <c r="H108" s="11"/>
      <c r="I108" s="11"/>
      <c r="J108" s="11"/>
      <c r="K108" s="11"/>
      <c r="L108" s="11"/>
    </row>
    <row r="110" spans="1:12" x14ac:dyDescent="0.25">
      <c r="A110" t="s">
        <v>241</v>
      </c>
    </row>
    <row r="111" spans="1:12" x14ac:dyDescent="0.25">
      <c r="A111" s="30" t="s">
        <v>219</v>
      </c>
      <c r="B111"/>
    </row>
    <row r="112" spans="1:12" x14ac:dyDescent="0.25">
      <c r="B112"/>
    </row>
    <row r="113" spans="1:3" x14ac:dyDescent="0.25">
      <c r="A113" s="29" t="s">
        <v>220</v>
      </c>
      <c r="B113"/>
    </row>
    <row r="114" spans="1:3" x14ac:dyDescent="0.25">
      <c r="B114"/>
    </row>
    <row r="115" spans="1:3" x14ac:dyDescent="0.25">
      <c r="A115" s="29" t="s">
        <v>221</v>
      </c>
      <c r="B115"/>
    </row>
    <row r="116" spans="1:3" x14ac:dyDescent="0.25">
      <c r="A116" s="29"/>
      <c r="B116"/>
    </row>
    <row r="117" spans="1:3" ht="30" x14ac:dyDescent="0.25">
      <c r="A117" s="34" t="s">
        <v>222</v>
      </c>
      <c r="B117" s="34" t="s">
        <v>222</v>
      </c>
      <c r="C117" s="34" t="s">
        <v>225</v>
      </c>
    </row>
    <row r="118" spans="1:3" x14ac:dyDescent="0.25">
      <c r="A118" s="34" t="s">
        <v>223</v>
      </c>
      <c r="B118" s="34" t="s">
        <v>224</v>
      </c>
      <c r="C118" s="34" t="s">
        <v>226</v>
      </c>
    </row>
    <row r="119" spans="1:3" x14ac:dyDescent="0.25">
      <c r="A119" s="33" t="s">
        <v>227</v>
      </c>
      <c r="B119" s="42">
        <v>28800</v>
      </c>
      <c r="C119" s="33">
        <v>0.2</v>
      </c>
    </row>
    <row r="120" spans="1:3" x14ac:dyDescent="0.25">
      <c r="A120" s="33" t="s">
        <v>228</v>
      </c>
      <c r="B120" s="42">
        <v>14400</v>
      </c>
      <c r="C120" s="33">
        <v>0.4</v>
      </c>
    </row>
    <row r="121" spans="1:3" x14ac:dyDescent="0.25">
      <c r="A121" s="33" t="s">
        <v>229</v>
      </c>
      <c r="B121" s="42">
        <v>7200</v>
      </c>
      <c r="C121" s="33">
        <v>0.8</v>
      </c>
    </row>
    <row r="122" spans="1:3" x14ac:dyDescent="0.25">
      <c r="A122" s="33" t="s">
        <v>230</v>
      </c>
      <c r="B122" s="42">
        <v>3600</v>
      </c>
      <c r="C122" s="33">
        <v>1.7</v>
      </c>
    </row>
    <row r="123" spans="1:3" x14ac:dyDescent="0.25">
      <c r="A123" s="33" t="s">
        <v>231</v>
      </c>
      <c r="B123" s="42">
        <v>1800</v>
      </c>
      <c r="C123" s="33">
        <v>3.3</v>
      </c>
    </row>
    <row r="124" spans="1:3" x14ac:dyDescent="0.25">
      <c r="A124" s="33" t="s">
        <v>232</v>
      </c>
      <c r="B124" s="33">
        <v>900</v>
      </c>
      <c r="C124" s="33">
        <v>6.7</v>
      </c>
    </row>
    <row r="125" spans="1:3" x14ac:dyDescent="0.25">
      <c r="A125" s="33" t="s">
        <v>233</v>
      </c>
      <c r="B125" s="33">
        <v>600</v>
      </c>
      <c r="C125" s="33">
        <v>10</v>
      </c>
    </row>
    <row r="126" spans="1:3" x14ac:dyDescent="0.25">
      <c r="A126" s="33" t="s">
        <v>234</v>
      </c>
      <c r="B126" s="33">
        <v>300</v>
      </c>
      <c r="C126" s="33">
        <v>20</v>
      </c>
    </row>
    <row r="127" spans="1:3" x14ac:dyDescent="0.25">
      <c r="A127" s="33" t="s">
        <v>235</v>
      </c>
      <c r="B127" s="33">
        <v>60</v>
      </c>
      <c r="C127" s="33">
        <v>100</v>
      </c>
    </row>
    <row r="128" spans="1:3" x14ac:dyDescent="0.25">
      <c r="A128" s="33" t="s">
        <v>236</v>
      </c>
      <c r="B128" s="33">
        <v>30</v>
      </c>
      <c r="C128" s="33">
        <v>200</v>
      </c>
    </row>
    <row r="129" spans="1:8" x14ac:dyDescent="0.25">
      <c r="A129" s="33" t="s">
        <v>237</v>
      </c>
      <c r="B129" s="33">
        <v>10</v>
      </c>
      <c r="C129" s="33">
        <v>600</v>
      </c>
    </row>
    <row r="130" spans="1:8" x14ac:dyDescent="0.25">
      <c r="A130" s="33" t="s">
        <v>238</v>
      </c>
      <c r="B130" s="33">
        <v>1</v>
      </c>
      <c r="C130" s="42">
        <v>6000</v>
      </c>
    </row>
    <row r="131" spans="1:8" x14ac:dyDescent="0.25">
      <c r="A131" s="33" t="s">
        <v>239</v>
      </c>
      <c r="B131" s="33">
        <v>0.5</v>
      </c>
      <c r="C131" s="42">
        <v>12000</v>
      </c>
    </row>
    <row r="132" spans="1:8" x14ac:dyDescent="0.25">
      <c r="A132" s="33" t="s">
        <v>240</v>
      </c>
      <c r="B132" s="33">
        <v>0.1</v>
      </c>
      <c r="C132" s="42">
        <v>60000</v>
      </c>
    </row>
    <row r="137" spans="1:8" x14ac:dyDescent="0.25">
      <c r="A137" t="s">
        <v>245</v>
      </c>
    </row>
    <row r="138" spans="1:8" x14ac:dyDescent="0.25">
      <c r="B138" s="21" t="s">
        <v>249</v>
      </c>
      <c r="F138" t="s">
        <v>250</v>
      </c>
    </row>
    <row r="139" spans="1:8" x14ac:dyDescent="0.25">
      <c r="A139" s="41" t="s">
        <v>248</v>
      </c>
      <c r="B139" s="43">
        <v>0.9</v>
      </c>
      <c r="C139" s="43">
        <v>0.99</v>
      </c>
      <c r="D139" s="44">
        <v>0.999</v>
      </c>
      <c r="F139" s="43">
        <v>0.9</v>
      </c>
      <c r="G139" s="43">
        <v>0.99</v>
      </c>
      <c r="H139" s="44">
        <v>0.999</v>
      </c>
    </row>
    <row r="140" spans="1:8" x14ac:dyDescent="0.25">
      <c r="A140" s="6" t="s">
        <v>242</v>
      </c>
      <c r="B140" s="45">
        <v>0.56000000000000005</v>
      </c>
      <c r="C140" s="45">
        <v>1.1000000000000001</v>
      </c>
      <c r="D140" s="45">
        <v>1.7</v>
      </c>
      <c r="F140">
        <f>B140*1000</f>
        <v>560</v>
      </c>
      <c r="G140">
        <f t="shared" ref="G140:G142" si="14">C140*1000</f>
        <v>1100</v>
      </c>
      <c r="H140">
        <f t="shared" ref="H140:H142" si="15">D140*1000</f>
        <v>1700</v>
      </c>
    </row>
    <row r="141" spans="1:8" x14ac:dyDescent="0.25">
      <c r="A141" s="6" t="s">
        <v>243</v>
      </c>
      <c r="B141" s="45">
        <v>0.39</v>
      </c>
      <c r="C141" s="45">
        <v>0.78</v>
      </c>
      <c r="D141" s="45">
        <v>1.2</v>
      </c>
      <c r="F141">
        <f t="shared" ref="F141:F142" si="16">B141*1000</f>
        <v>390</v>
      </c>
      <c r="G141">
        <f t="shared" si="14"/>
        <v>780</v>
      </c>
      <c r="H141">
        <f t="shared" si="15"/>
        <v>1200</v>
      </c>
    </row>
    <row r="142" spans="1:8" x14ac:dyDescent="0.25">
      <c r="A142" s="6" t="s">
        <v>244</v>
      </c>
      <c r="B142" s="45">
        <v>1.3</v>
      </c>
      <c r="C142" s="45">
        <v>2.6</v>
      </c>
      <c r="D142" s="45">
        <v>1.8</v>
      </c>
      <c r="F142">
        <f t="shared" si="16"/>
        <v>1300</v>
      </c>
      <c r="G142">
        <f t="shared" si="14"/>
        <v>2600</v>
      </c>
      <c r="H142">
        <f t="shared" si="15"/>
        <v>1800</v>
      </c>
    </row>
    <row r="143" spans="1:8" x14ac:dyDescent="0.25">
      <c r="A143" s="6"/>
      <c r="B143" s="45"/>
      <c r="C143" s="45"/>
      <c r="D143" s="45"/>
    </row>
    <row r="144" spans="1:8" x14ac:dyDescent="0.25">
      <c r="A144" s="6"/>
      <c r="B144" s="45"/>
      <c r="C144" s="45"/>
      <c r="D144" s="45"/>
      <c r="F144" t="s">
        <v>255</v>
      </c>
    </row>
    <row r="145" spans="1:18" x14ac:dyDescent="0.25">
      <c r="F145" s="43">
        <v>0.9</v>
      </c>
      <c r="G145" s="43">
        <v>0.99</v>
      </c>
      <c r="H145" s="44">
        <v>0.999</v>
      </c>
    </row>
    <row r="146" spans="1:18" x14ac:dyDescent="0.25">
      <c r="A146" s="6" t="s">
        <v>242</v>
      </c>
      <c r="F146" s="45">
        <f>F140/(60*20)</f>
        <v>0.46666666666666667</v>
      </c>
      <c r="G146" s="45">
        <f t="shared" ref="G146:H146" si="17">G140/(60*20)</f>
        <v>0.91666666666666663</v>
      </c>
      <c r="H146" s="45">
        <f t="shared" si="17"/>
        <v>1.4166666666666667</v>
      </c>
    </row>
    <row r="147" spans="1:18" x14ac:dyDescent="0.25">
      <c r="A147" s="6" t="s">
        <v>243</v>
      </c>
      <c r="F147" s="45">
        <f t="shared" ref="F147:H147" si="18">F141/(60*20)</f>
        <v>0.32500000000000001</v>
      </c>
      <c r="G147" s="45">
        <f t="shared" si="18"/>
        <v>0.65</v>
      </c>
      <c r="H147" s="45">
        <f t="shared" si="18"/>
        <v>1</v>
      </c>
    </row>
    <row r="148" spans="1:18" x14ac:dyDescent="0.25">
      <c r="A148" s="6" t="s">
        <v>244</v>
      </c>
      <c r="F148" s="45">
        <f t="shared" ref="F148:H148" si="19">F142/(60*20)</f>
        <v>1.0833333333333333</v>
      </c>
      <c r="G148" s="45">
        <f t="shared" si="19"/>
        <v>2.1666666666666665</v>
      </c>
      <c r="H148" s="45">
        <f t="shared" si="19"/>
        <v>1.5</v>
      </c>
    </row>
    <row r="150" spans="1:18" x14ac:dyDescent="0.25">
      <c r="B150" s="21" t="s">
        <v>253</v>
      </c>
      <c r="F150" t="s">
        <v>252</v>
      </c>
    </row>
    <row r="151" spans="1:18" x14ac:dyDescent="0.25">
      <c r="A151" s="1" t="s">
        <v>254</v>
      </c>
      <c r="B151" s="19">
        <v>3</v>
      </c>
      <c r="F151">
        <f>B151*1000/3600</f>
        <v>0.83333333333333337</v>
      </c>
    </row>
    <row r="153" spans="1:18" x14ac:dyDescent="0.25">
      <c r="A153" t="s">
        <v>247</v>
      </c>
    </row>
    <row r="154" spans="1:18" x14ac:dyDescent="0.25">
      <c r="A154" t="s">
        <v>246</v>
      </c>
    </row>
    <row r="155" spans="1:18" x14ac:dyDescent="0.25">
      <c r="A155" t="s">
        <v>251</v>
      </c>
    </row>
    <row r="158" spans="1:18" ht="45" x14ac:dyDescent="0.25">
      <c r="A158" s="16" t="s">
        <v>103</v>
      </c>
      <c r="B158" s="18" t="s">
        <v>108</v>
      </c>
      <c r="C158" s="18" t="s">
        <v>109</v>
      </c>
      <c r="D158" s="18"/>
      <c r="E158" s="18"/>
      <c r="F158" s="18"/>
      <c r="G158" s="34"/>
      <c r="H158" s="18"/>
      <c r="I158" s="34" t="s">
        <v>124</v>
      </c>
      <c r="J158" s="18" t="s">
        <v>19</v>
      </c>
      <c r="K158" s="18"/>
      <c r="L158" s="22" t="s">
        <v>138</v>
      </c>
      <c r="M158" s="18"/>
      <c r="N158" s="18"/>
      <c r="O158" s="18"/>
      <c r="P158" s="18" t="s">
        <v>132</v>
      </c>
      <c r="R158" t="s">
        <v>12</v>
      </c>
    </row>
    <row r="159" spans="1:18" x14ac:dyDescent="0.25">
      <c r="A159" t="s">
        <v>104</v>
      </c>
      <c r="B159">
        <v>1</v>
      </c>
      <c r="C159" s="11" t="s">
        <v>270</v>
      </c>
      <c r="D159"/>
      <c r="I159" t="s">
        <v>271</v>
      </c>
      <c r="J159">
        <v>10</v>
      </c>
      <c r="L159" s="35">
        <v>1550</v>
      </c>
      <c r="P159" s="36">
        <f>L159*B159</f>
        <v>1550</v>
      </c>
      <c r="R159" t="s">
        <v>272</v>
      </c>
    </row>
    <row r="160" spans="1:18" x14ac:dyDescent="0.25">
      <c r="A160" t="s">
        <v>15</v>
      </c>
      <c r="B160"/>
      <c r="C160" s="33"/>
      <c r="D160"/>
      <c r="L160" s="35"/>
      <c r="P160" s="36">
        <f t="shared" ref="P160:P169" si="20">L160*B160</f>
        <v>0</v>
      </c>
      <c r="R160" t="s">
        <v>273</v>
      </c>
    </row>
    <row r="161" spans="1:18" x14ac:dyDescent="0.25">
      <c r="A161" t="s">
        <v>16</v>
      </c>
      <c r="B161">
        <v>1</v>
      </c>
      <c r="C161" s="11" t="s">
        <v>270</v>
      </c>
      <c r="D161"/>
      <c r="I161" t="s">
        <v>271</v>
      </c>
      <c r="J161">
        <v>10</v>
      </c>
      <c r="L161" s="35">
        <v>1550</v>
      </c>
      <c r="P161" s="36">
        <f>L161*B161</f>
        <v>1550</v>
      </c>
      <c r="R161" t="s">
        <v>272</v>
      </c>
    </row>
    <row r="162" spans="1:18" x14ac:dyDescent="0.25">
      <c r="A162" t="s">
        <v>106</v>
      </c>
      <c r="B162"/>
      <c r="C162" s="11"/>
      <c r="D162"/>
      <c r="L162" s="35"/>
      <c r="P162" s="36">
        <f t="shared" si="20"/>
        <v>0</v>
      </c>
      <c r="R162" t="s">
        <v>273</v>
      </c>
    </row>
    <row r="163" spans="1:18" x14ac:dyDescent="0.25">
      <c r="A163" t="s">
        <v>105</v>
      </c>
      <c r="B163"/>
      <c r="C163" s="33"/>
      <c r="D163"/>
      <c r="L163" s="35"/>
      <c r="P163" s="36">
        <f t="shared" si="20"/>
        <v>0</v>
      </c>
      <c r="R163" t="s">
        <v>273</v>
      </c>
    </row>
    <row r="164" spans="1:18" x14ac:dyDescent="0.25">
      <c r="A164" t="s">
        <v>105</v>
      </c>
      <c r="B164"/>
      <c r="C164" s="33"/>
      <c r="D164"/>
      <c r="L164" s="35"/>
      <c r="P164" s="36">
        <f t="shared" si="20"/>
        <v>0</v>
      </c>
      <c r="R164" t="s">
        <v>273</v>
      </c>
    </row>
    <row r="165" spans="1:18" x14ac:dyDescent="0.25">
      <c r="A165" t="s">
        <v>105</v>
      </c>
      <c r="B165"/>
      <c r="C165" s="33"/>
      <c r="D165"/>
      <c r="L165" s="35"/>
      <c r="P165" s="36">
        <f t="shared" si="20"/>
        <v>0</v>
      </c>
    </row>
    <row r="166" spans="1:18" x14ac:dyDescent="0.25">
      <c r="A166" t="s">
        <v>105</v>
      </c>
      <c r="B166"/>
      <c r="C166" s="33"/>
      <c r="D166"/>
      <c r="L166" s="35"/>
      <c r="P166" s="36">
        <f t="shared" si="20"/>
        <v>0</v>
      </c>
    </row>
    <row r="167" spans="1:18" x14ac:dyDescent="0.25">
      <c r="A167" t="s">
        <v>14</v>
      </c>
      <c r="B167"/>
      <c r="C167" s="33"/>
      <c r="D167"/>
      <c r="L167" s="35"/>
      <c r="P167" s="36">
        <f t="shared" si="20"/>
        <v>0</v>
      </c>
    </row>
    <row r="168" spans="1:18" x14ac:dyDescent="0.25">
      <c r="A168" t="s">
        <v>14</v>
      </c>
      <c r="B168"/>
      <c r="C168" s="33"/>
      <c r="D168"/>
      <c r="L168" s="35"/>
      <c r="P168" s="36">
        <f t="shared" si="20"/>
        <v>0</v>
      </c>
    </row>
    <row r="169" spans="1:18" x14ac:dyDescent="0.25">
      <c r="A169" t="s">
        <v>107</v>
      </c>
      <c r="B169"/>
      <c r="C169" s="33"/>
      <c r="D169"/>
      <c r="L169" s="35"/>
      <c r="P169" s="36">
        <f t="shared" si="20"/>
        <v>0</v>
      </c>
    </row>
    <row r="170" spans="1:18" ht="15.75" thickBot="1" x14ac:dyDescent="0.3">
      <c r="A170" t="s">
        <v>155</v>
      </c>
      <c r="B170">
        <v>1</v>
      </c>
      <c r="C170" s="33"/>
      <c r="D170"/>
      <c r="L170" s="35">
        <v>200</v>
      </c>
      <c r="O170" s="37"/>
      <c r="P170" s="38">
        <f>B170*L170</f>
        <v>200</v>
      </c>
    </row>
    <row r="171" spans="1:18" x14ac:dyDescent="0.25">
      <c r="B171"/>
      <c r="D171"/>
      <c r="O171" t="s">
        <v>132</v>
      </c>
      <c r="P171" s="36">
        <f>SUM(P159:P170)</f>
        <v>3300</v>
      </c>
    </row>
    <row r="172" spans="1:18" x14ac:dyDescent="0.25">
      <c r="A172" t="s">
        <v>257</v>
      </c>
    </row>
    <row r="173" spans="1:18" x14ac:dyDescent="0.25">
      <c r="A173" t="s">
        <v>258</v>
      </c>
    </row>
    <row r="174" spans="1:18" x14ac:dyDescent="0.25">
      <c r="A174" t="s">
        <v>259</v>
      </c>
    </row>
    <row r="177" spans="1:16" x14ac:dyDescent="0.25">
      <c r="A177" s="16" t="s">
        <v>18</v>
      </c>
      <c r="B177" s="18" t="s">
        <v>180</v>
      </c>
      <c r="C177" s="18" t="s">
        <v>181</v>
      </c>
      <c r="D177" s="18"/>
      <c r="E177" s="18"/>
      <c r="F177" s="18"/>
      <c r="G177" s="18" t="s">
        <v>182</v>
      </c>
      <c r="H177" s="18"/>
      <c r="I177" s="34" t="s">
        <v>156</v>
      </c>
      <c r="J177" s="18" t="s">
        <v>19</v>
      </c>
      <c r="K177" s="18"/>
      <c r="L177" s="22" t="s">
        <v>157</v>
      </c>
      <c r="M177" s="18"/>
      <c r="N177" s="18"/>
      <c r="O177" s="18"/>
      <c r="P177" s="18" t="s">
        <v>132</v>
      </c>
    </row>
    <row r="178" spans="1:16" x14ac:dyDescent="0.25">
      <c r="A178" t="s">
        <v>139</v>
      </c>
      <c r="B178">
        <v>4</v>
      </c>
      <c r="C178" s="11" t="s">
        <v>270</v>
      </c>
      <c r="D178"/>
      <c r="I178" t="s">
        <v>271</v>
      </c>
      <c r="J178">
        <v>10</v>
      </c>
      <c r="L178" s="35">
        <v>1550</v>
      </c>
      <c r="P178" s="36">
        <f t="shared" ref="P178:P194" si="21">L178*B178</f>
        <v>6200</v>
      </c>
    </row>
    <row r="179" spans="1:16" x14ac:dyDescent="0.25">
      <c r="A179" t="s">
        <v>140</v>
      </c>
      <c r="B179">
        <v>1</v>
      </c>
      <c r="C179" s="11" t="s">
        <v>270</v>
      </c>
      <c r="D179"/>
      <c r="I179" t="s">
        <v>271</v>
      </c>
      <c r="J179">
        <v>10</v>
      </c>
      <c r="L179" s="35">
        <v>1550</v>
      </c>
      <c r="P179" s="36">
        <f t="shared" si="21"/>
        <v>1550</v>
      </c>
    </row>
    <row r="180" spans="1:16" x14ac:dyDescent="0.25">
      <c r="A180" t="s">
        <v>141</v>
      </c>
      <c r="B180">
        <v>1</v>
      </c>
      <c r="C180" s="11" t="s">
        <v>270</v>
      </c>
      <c r="D180"/>
      <c r="I180" t="s">
        <v>271</v>
      </c>
      <c r="J180">
        <v>10</v>
      </c>
      <c r="L180" s="35">
        <v>1550</v>
      </c>
      <c r="P180" s="36">
        <f t="shared" si="21"/>
        <v>1550</v>
      </c>
    </row>
    <row r="181" spans="1:16" x14ac:dyDescent="0.25">
      <c r="A181" t="s">
        <v>142</v>
      </c>
      <c r="B181">
        <v>1</v>
      </c>
      <c r="C181" s="11" t="s">
        <v>270</v>
      </c>
      <c r="D181"/>
      <c r="I181" t="s">
        <v>271</v>
      </c>
      <c r="J181">
        <v>10</v>
      </c>
      <c r="L181" s="35">
        <v>1550</v>
      </c>
      <c r="P181" s="36">
        <f t="shared" si="21"/>
        <v>1550</v>
      </c>
    </row>
    <row r="182" spans="1:16" x14ac:dyDescent="0.25">
      <c r="A182" t="s">
        <v>9</v>
      </c>
      <c r="B182">
        <v>1</v>
      </c>
      <c r="C182" s="11" t="s">
        <v>270</v>
      </c>
      <c r="D182"/>
      <c r="I182" t="s">
        <v>271</v>
      </c>
      <c r="J182">
        <v>10</v>
      </c>
      <c r="L182" s="35">
        <v>1550</v>
      </c>
      <c r="P182" s="36">
        <f t="shared" si="21"/>
        <v>1550</v>
      </c>
    </row>
    <row r="183" spans="1:16" x14ac:dyDescent="0.25">
      <c r="A183" t="s">
        <v>143</v>
      </c>
      <c r="B183">
        <v>1</v>
      </c>
      <c r="C183" s="11" t="s">
        <v>270</v>
      </c>
      <c r="D183"/>
      <c r="I183" t="s">
        <v>271</v>
      </c>
      <c r="J183">
        <v>10</v>
      </c>
      <c r="L183" s="35">
        <v>1550</v>
      </c>
      <c r="P183" s="36">
        <f t="shared" si="21"/>
        <v>1550</v>
      </c>
    </row>
    <row r="184" spans="1:16" x14ac:dyDescent="0.25">
      <c r="A184" t="s">
        <v>144</v>
      </c>
      <c r="B184">
        <v>1</v>
      </c>
      <c r="C184" s="11" t="s">
        <v>270</v>
      </c>
      <c r="D184"/>
      <c r="I184" t="s">
        <v>271</v>
      </c>
      <c r="J184">
        <v>10</v>
      </c>
      <c r="L184" s="35">
        <v>1550</v>
      </c>
      <c r="P184" s="36">
        <f t="shared" si="21"/>
        <v>1550</v>
      </c>
    </row>
    <row r="185" spans="1:16" x14ac:dyDescent="0.25">
      <c r="A185" t="s">
        <v>145</v>
      </c>
      <c r="B185">
        <v>1</v>
      </c>
      <c r="C185" s="11" t="s">
        <v>270</v>
      </c>
      <c r="D185"/>
      <c r="I185" t="s">
        <v>271</v>
      </c>
      <c r="J185">
        <v>10</v>
      </c>
      <c r="L185" s="35">
        <v>1550</v>
      </c>
      <c r="P185" s="36">
        <f t="shared" si="21"/>
        <v>1550</v>
      </c>
    </row>
    <row r="186" spans="1:16" x14ac:dyDescent="0.25">
      <c r="A186" t="s">
        <v>146</v>
      </c>
      <c r="B186">
        <v>1</v>
      </c>
      <c r="C186" s="11" t="s">
        <v>270</v>
      </c>
      <c r="D186"/>
      <c r="I186" t="s">
        <v>271</v>
      </c>
      <c r="J186">
        <v>10</v>
      </c>
      <c r="L186" s="35">
        <v>1550</v>
      </c>
      <c r="P186" s="36">
        <f t="shared" si="21"/>
        <v>1550</v>
      </c>
    </row>
    <row r="187" spans="1:16" x14ac:dyDescent="0.25">
      <c r="A187" t="s">
        <v>147</v>
      </c>
      <c r="B187">
        <v>2</v>
      </c>
      <c r="C187" s="11" t="s">
        <v>270</v>
      </c>
      <c r="D187"/>
      <c r="I187" t="s">
        <v>271</v>
      </c>
      <c r="J187">
        <v>10</v>
      </c>
      <c r="L187" s="35">
        <v>1550</v>
      </c>
      <c r="P187" s="36">
        <f t="shared" si="21"/>
        <v>3100</v>
      </c>
    </row>
    <row r="188" spans="1:16" x14ac:dyDescent="0.25">
      <c r="A188" t="s">
        <v>148</v>
      </c>
      <c r="B188">
        <v>1</v>
      </c>
      <c r="C188" s="11" t="s">
        <v>270</v>
      </c>
      <c r="D188"/>
      <c r="I188" t="s">
        <v>271</v>
      </c>
      <c r="J188">
        <v>10</v>
      </c>
      <c r="L188" s="35">
        <v>1550</v>
      </c>
      <c r="P188" s="36">
        <f t="shared" si="21"/>
        <v>1550</v>
      </c>
    </row>
    <row r="189" spans="1:16" x14ac:dyDescent="0.25">
      <c r="A189" t="s">
        <v>149</v>
      </c>
      <c r="B189">
        <v>1</v>
      </c>
      <c r="C189" s="11" t="s">
        <v>270</v>
      </c>
      <c r="D189"/>
      <c r="I189" t="s">
        <v>271</v>
      </c>
      <c r="J189">
        <v>10</v>
      </c>
      <c r="L189" s="35">
        <v>1550</v>
      </c>
      <c r="P189" s="36">
        <f t="shared" si="21"/>
        <v>1550</v>
      </c>
    </row>
    <row r="190" spans="1:16" x14ac:dyDescent="0.25">
      <c r="A190" t="s">
        <v>150</v>
      </c>
      <c r="B190">
        <v>1</v>
      </c>
      <c r="C190" s="11" t="s">
        <v>270</v>
      </c>
      <c r="D190"/>
      <c r="I190" t="s">
        <v>271</v>
      </c>
      <c r="J190">
        <v>10</v>
      </c>
      <c r="L190" s="35">
        <v>1550</v>
      </c>
      <c r="P190" s="36">
        <f t="shared" si="21"/>
        <v>1550</v>
      </c>
    </row>
    <row r="191" spans="1:16" x14ac:dyDescent="0.25">
      <c r="A191" t="s">
        <v>151</v>
      </c>
      <c r="B191">
        <v>1</v>
      </c>
      <c r="C191" s="11" t="s">
        <v>270</v>
      </c>
      <c r="D191"/>
      <c r="I191" t="s">
        <v>271</v>
      </c>
      <c r="J191">
        <v>10</v>
      </c>
      <c r="L191" s="35">
        <v>1550</v>
      </c>
      <c r="P191" s="36">
        <f t="shared" si="21"/>
        <v>1550</v>
      </c>
    </row>
    <row r="192" spans="1:16" x14ac:dyDescent="0.25">
      <c r="A192" t="s">
        <v>152</v>
      </c>
      <c r="B192">
        <v>1</v>
      </c>
      <c r="C192" s="11" t="s">
        <v>270</v>
      </c>
      <c r="D192"/>
      <c r="I192" t="s">
        <v>271</v>
      </c>
      <c r="J192">
        <v>10</v>
      </c>
      <c r="L192" s="35">
        <v>1550</v>
      </c>
      <c r="P192" s="36">
        <f t="shared" si="21"/>
        <v>1550</v>
      </c>
    </row>
    <row r="193" spans="1:16" x14ac:dyDescent="0.25">
      <c r="A193" t="s">
        <v>153</v>
      </c>
      <c r="B193">
        <v>2</v>
      </c>
      <c r="C193" s="11" t="s">
        <v>270</v>
      </c>
      <c r="D193"/>
      <c r="I193" t="s">
        <v>271</v>
      </c>
      <c r="J193">
        <v>10</v>
      </c>
      <c r="L193" s="35">
        <v>1550</v>
      </c>
      <c r="P193" s="36">
        <f t="shared" si="21"/>
        <v>3100</v>
      </c>
    </row>
    <row r="194" spans="1:16" ht="15.75" thickBot="1" x14ac:dyDescent="0.3">
      <c r="A194" t="s">
        <v>155</v>
      </c>
      <c r="B194">
        <v>2</v>
      </c>
      <c r="D194"/>
      <c r="L194" s="35">
        <v>200</v>
      </c>
      <c r="O194" s="37"/>
      <c r="P194" s="38">
        <f t="shared" si="21"/>
        <v>400</v>
      </c>
    </row>
    <row r="195" spans="1:16" x14ac:dyDescent="0.25">
      <c r="B195"/>
      <c r="D195"/>
      <c r="O195" t="s">
        <v>132</v>
      </c>
      <c r="P195" s="36">
        <f>SUM(P178:P194)</f>
        <v>32950</v>
      </c>
    </row>
    <row r="196" spans="1:16" x14ac:dyDescent="0.25">
      <c r="A196" t="s">
        <v>257</v>
      </c>
    </row>
    <row r="197" spans="1:16" x14ac:dyDescent="0.25">
      <c r="A197" t="s">
        <v>258</v>
      </c>
    </row>
    <row r="198" spans="1:16" x14ac:dyDescent="0.25">
      <c r="A198" t="s">
        <v>259</v>
      </c>
    </row>
    <row r="200" spans="1:16" x14ac:dyDescent="0.25">
      <c r="A200" s="16" t="s">
        <v>158</v>
      </c>
      <c r="B200" s="18"/>
      <c r="C200" s="16"/>
      <c r="D200" s="18"/>
      <c r="E200" s="16"/>
      <c r="F200" s="16"/>
      <c r="G200" s="16"/>
      <c r="K200" s="16" t="s">
        <v>263</v>
      </c>
      <c r="L200" s="16" t="s">
        <v>264</v>
      </c>
      <c r="O200" s="16" t="s">
        <v>261</v>
      </c>
      <c r="P200" s="16" t="s">
        <v>12</v>
      </c>
    </row>
    <row r="201" spans="1:16" ht="45" x14ac:dyDescent="0.25">
      <c r="A201" s="12" t="s">
        <v>269</v>
      </c>
      <c r="B201" s="46" t="s">
        <v>260</v>
      </c>
      <c r="C201" s="46"/>
      <c r="D201" s="26"/>
      <c r="E201" s="46"/>
      <c r="F201" s="46"/>
      <c r="G201" s="46"/>
      <c r="H201" s="46"/>
      <c r="I201" s="46"/>
      <c r="J201" s="46"/>
      <c r="K201" s="46">
        <v>40</v>
      </c>
      <c r="L201" s="46" t="s">
        <v>265</v>
      </c>
      <c r="M201" s="46"/>
      <c r="N201" s="46"/>
      <c r="O201" s="47">
        <v>3068</v>
      </c>
      <c r="P201" s="46" t="s">
        <v>266</v>
      </c>
    </row>
    <row r="202" spans="1:16" ht="45" x14ac:dyDescent="0.25">
      <c r="A202" s="48" t="s">
        <v>270</v>
      </c>
      <c r="B202" s="46" t="s">
        <v>262</v>
      </c>
      <c r="C202" s="46"/>
      <c r="D202" s="26"/>
      <c r="E202" s="46"/>
      <c r="F202" s="46"/>
      <c r="G202" s="46"/>
      <c r="H202" s="46"/>
      <c r="I202" s="46"/>
      <c r="J202" s="46"/>
      <c r="K202" s="46">
        <v>10</v>
      </c>
      <c r="L202" s="46" t="s">
        <v>13</v>
      </c>
      <c r="M202" s="46"/>
      <c r="N202" s="46"/>
      <c r="O202" s="47">
        <v>1550</v>
      </c>
      <c r="P202" s="46" t="s">
        <v>267</v>
      </c>
    </row>
    <row r="205" spans="1:16" x14ac:dyDescent="0.25">
      <c r="A205" t="s">
        <v>291</v>
      </c>
    </row>
    <row r="206" spans="1:16" x14ac:dyDescent="0.25">
      <c r="A206" s="16" t="s">
        <v>285</v>
      </c>
      <c r="B206" s="16" t="s">
        <v>20</v>
      </c>
      <c r="C206" s="16" t="s">
        <v>284</v>
      </c>
      <c r="D206" s="16" t="s">
        <v>261</v>
      </c>
      <c r="E206" s="16" t="s">
        <v>12</v>
      </c>
    </row>
    <row r="207" spans="1:16" x14ac:dyDescent="0.25">
      <c r="A207" s="2" t="s">
        <v>8</v>
      </c>
      <c r="B207" s="52" t="e">
        <f>#REF!</f>
        <v>#REF!</v>
      </c>
      <c r="C207" s="51" t="e">
        <f>#REF!</f>
        <v>#REF!</v>
      </c>
      <c r="D207" s="50" t="e">
        <f>B207*C207</f>
        <v>#REF!</v>
      </c>
      <c r="E207" t="s">
        <v>290</v>
      </c>
    </row>
    <row r="208" spans="1:16" ht="30" x14ac:dyDescent="0.25">
      <c r="A208" s="2" t="s">
        <v>286</v>
      </c>
      <c r="B208" s="52">
        <v>4000000000</v>
      </c>
      <c r="C208" s="49" t="e">
        <f>C207</f>
        <v>#REF!</v>
      </c>
      <c r="D208" s="50" t="e">
        <f t="shared" ref="D208" si="22">B208*C208</f>
        <v>#REF!</v>
      </c>
      <c r="E208" t="s">
        <v>289</v>
      </c>
    </row>
    <row r="209" spans="1:5" x14ac:dyDescent="0.25">
      <c r="A209" t="s">
        <v>11</v>
      </c>
      <c r="B209" s="52">
        <v>9500000000</v>
      </c>
      <c r="C209" s="49" t="e">
        <f t="shared" ref="C209:C210" si="23">C208</f>
        <v>#REF!</v>
      </c>
      <c r="D209" s="50" t="e">
        <f t="shared" ref="D209:D210" si="24">B209*C209</f>
        <v>#REF!</v>
      </c>
      <c r="E209" t="s">
        <v>292</v>
      </c>
    </row>
    <row r="210" spans="1:5" x14ac:dyDescent="0.25">
      <c r="A210" t="s">
        <v>287</v>
      </c>
      <c r="B210" s="52">
        <v>13000000000</v>
      </c>
      <c r="C210" s="49" t="e">
        <f t="shared" si="23"/>
        <v>#REF!</v>
      </c>
      <c r="D210" s="50" t="e">
        <f t="shared" si="24"/>
        <v>#REF!</v>
      </c>
      <c r="E210" t="s">
        <v>288</v>
      </c>
    </row>
    <row r="211" spans="1:5" x14ac:dyDescent="0.25">
      <c r="B211" s="52"/>
      <c r="C211" s="49"/>
      <c r="D211" s="50"/>
    </row>
    <row r="212" spans="1:5" x14ac:dyDescent="0.25">
      <c r="A212" t="s">
        <v>293</v>
      </c>
      <c r="B212" s="51"/>
    </row>
    <row r="213" spans="1:5" x14ac:dyDescent="0.25">
      <c r="B213" s="23"/>
    </row>
    <row r="214" spans="1:5" x14ac:dyDescent="0.25">
      <c r="A214" t="s">
        <v>275</v>
      </c>
      <c r="B214" s="23"/>
    </row>
    <row r="215" spans="1:5" x14ac:dyDescent="0.25">
      <c r="A215" t="s">
        <v>276</v>
      </c>
      <c r="B215" s="23"/>
    </row>
    <row r="216" spans="1:5" x14ac:dyDescent="0.25">
      <c r="B216" s="52"/>
    </row>
    <row r="217" spans="1:5" x14ac:dyDescent="0.25">
      <c r="A217" t="s">
        <v>277</v>
      </c>
      <c r="B217" s="51"/>
    </row>
    <row r="218" spans="1:5" x14ac:dyDescent="0.25">
      <c r="A218" t="s">
        <v>280</v>
      </c>
      <c r="B218" s="50"/>
    </row>
    <row r="219" spans="1:5" x14ac:dyDescent="0.25">
      <c r="A219" t="s">
        <v>278</v>
      </c>
    </row>
    <row r="220" spans="1:5" x14ac:dyDescent="0.25">
      <c r="A220" t="s">
        <v>281</v>
      </c>
    </row>
    <row r="221" spans="1:5" x14ac:dyDescent="0.25">
      <c r="A221" t="s">
        <v>282</v>
      </c>
      <c r="B221" s="52"/>
    </row>
    <row r="222" spans="1:5" x14ac:dyDescent="0.25">
      <c r="B222" s="51"/>
    </row>
    <row r="223" spans="1:5" x14ac:dyDescent="0.25">
      <c r="A223" t="s">
        <v>279</v>
      </c>
      <c r="B223" s="50"/>
    </row>
    <row r="225" spans="1:5" x14ac:dyDescent="0.25">
      <c r="A225" t="s">
        <v>283</v>
      </c>
    </row>
    <row r="228" spans="1:5" x14ac:dyDescent="0.25">
      <c r="A228" t="s">
        <v>294</v>
      </c>
      <c r="C228" t="s">
        <v>315</v>
      </c>
      <c r="D228" s="19" t="s">
        <v>316</v>
      </c>
    </row>
    <row r="229" spans="1:5" x14ac:dyDescent="0.25">
      <c r="A229" t="s">
        <v>300</v>
      </c>
      <c r="C229" t="s">
        <v>10</v>
      </c>
      <c r="E229" s="9" t="s">
        <v>127</v>
      </c>
    </row>
    <row r="230" spans="1:5" x14ac:dyDescent="0.25">
      <c r="A230" t="s">
        <v>299</v>
      </c>
      <c r="C230" t="s">
        <v>10</v>
      </c>
      <c r="E230" s="9" t="s">
        <v>170</v>
      </c>
    </row>
    <row r="231" spans="1:5" x14ac:dyDescent="0.25">
      <c r="A231" t="s">
        <v>298</v>
      </c>
      <c r="C231" t="s">
        <v>10</v>
      </c>
      <c r="E231" s="9" t="s">
        <v>172</v>
      </c>
    </row>
    <row r="232" spans="1:5" x14ac:dyDescent="0.25">
      <c r="A232" t="s">
        <v>317</v>
      </c>
      <c r="C232" t="s">
        <v>10</v>
      </c>
      <c r="E232" s="9" t="s">
        <v>176</v>
      </c>
    </row>
    <row r="233" spans="1:5" x14ac:dyDescent="0.25">
      <c r="A233" t="s">
        <v>297</v>
      </c>
      <c r="C233" t="s">
        <v>10</v>
      </c>
      <c r="E233" s="9" t="s">
        <v>217</v>
      </c>
    </row>
    <row r="234" spans="1:5" x14ac:dyDescent="0.25">
      <c r="A234" t="s">
        <v>301</v>
      </c>
      <c r="C234" t="s">
        <v>10</v>
      </c>
      <c r="E234" s="9" t="s">
        <v>302</v>
      </c>
    </row>
    <row r="235" spans="1:5" x14ac:dyDescent="0.25">
      <c r="A235" t="s">
        <v>303</v>
      </c>
      <c r="C235" t="s">
        <v>10</v>
      </c>
      <c r="E235" s="9" t="s">
        <v>257</v>
      </c>
    </row>
    <row r="236" spans="1:5" x14ac:dyDescent="0.25">
      <c r="A236" t="s">
        <v>303</v>
      </c>
      <c r="C236" t="s">
        <v>10</v>
      </c>
      <c r="D236" s="19" t="s">
        <v>10</v>
      </c>
      <c r="E236" s="9" t="s">
        <v>258</v>
      </c>
    </row>
    <row r="237" spans="1:5" x14ac:dyDescent="0.25">
      <c r="A237" t="s">
        <v>303</v>
      </c>
      <c r="C237" t="s">
        <v>10</v>
      </c>
      <c r="E237" s="9" t="s">
        <v>259</v>
      </c>
    </row>
    <row r="238" spans="1:5" x14ac:dyDescent="0.25">
      <c r="A238" t="s">
        <v>304</v>
      </c>
      <c r="D238" s="19" t="s">
        <v>10</v>
      </c>
      <c r="E238" s="24" t="s">
        <v>295</v>
      </c>
    </row>
    <row r="239" spans="1:5" x14ac:dyDescent="0.25">
      <c r="A239" t="s">
        <v>305</v>
      </c>
      <c r="D239" s="19" t="s">
        <v>10</v>
      </c>
      <c r="E239" s="24" t="s">
        <v>296</v>
      </c>
    </row>
    <row r="240" spans="1:5" x14ac:dyDescent="0.25">
      <c r="A240" t="s">
        <v>306</v>
      </c>
      <c r="C240" t="s">
        <v>10</v>
      </c>
      <c r="E240" s="9" t="s">
        <v>307</v>
      </c>
    </row>
    <row r="241" spans="1:5" x14ac:dyDescent="0.25">
      <c r="A241" t="s">
        <v>308</v>
      </c>
      <c r="C241" t="s">
        <v>10</v>
      </c>
      <c r="E241" s="24" t="s">
        <v>309</v>
      </c>
    </row>
    <row r="242" spans="1:5" x14ac:dyDescent="0.25">
      <c r="A242" t="s">
        <v>308</v>
      </c>
      <c r="C242" t="s">
        <v>10</v>
      </c>
      <c r="E242" s="24" t="s">
        <v>310</v>
      </c>
    </row>
    <row r="244" spans="1:5" x14ac:dyDescent="0.25">
      <c r="A244" t="s">
        <v>311</v>
      </c>
      <c r="C244" t="s">
        <v>10</v>
      </c>
      <c r="E244" s="24" t="s">
        <v>312</v>
      </c>
    </row>
    <row r="245" spans="1:5" x14ac:dyDescent="0.25">
      <c r="A245" t="s">
        <v>313</v>
      </c>
      <c r="C245" t="s">
        <v>10</v>
      </c>
      <c r="E245" s="24" t="s">
        <v>314</v>
      </c>
    </row>
  </sheetData>
  <hyperlinks>
    <hyperlink ref="E240" r:id="rId1" xr:uid="{4E8C3E4C-F00C-4F92-BC2F-0E35DBA02A94}"/>
    <hyperlink ref="E229" r:id="rId2" xr:uid="{3B0E9C2F-B0F1-4561-8D69-8A80418B0651}"/>
    <hyperlink ref="E230" r:id="rId3" xr:uid="{1989B8DD-EB37-4134-A449-395B69A58DE1}"/>
    <hyperlink ref="E231" r:id="rId4" xr:uid="{3EE25A8A-16FD-4722-B613-75A2ADB9212D}"/>
    <hyperlink ref="E232" r:id="rId5" xr:uid="{7FFA98E4-3011-4F8D-A86B-17E45BBE81D6}"/>
    <hyperlink ref="E233" r:id="rId6" xr:uid="{2E17FA10-3595-4EE7-A24F-349979C2C828}"/>
    <hyperlink ref="E234" r:id="rId7" xr:uid="{AB7677A4-91D2-47C1-8545-E5419A7B00E8}"/>
    <hyperlink ref="E235" r:id="rId8" xr:uid="{D1D10E52-AE49-4983-A502-672CA0EF9736}"/>
    <hyperlink ref="E236" r:id="rId9" xr:uid="{68354E1E-7218-41BF-B3D8-8B1CE2092F2F}"/>
    <hyperlink ref="E237" r:id="rId10" xr:uid="{0FDA8F56-6568-4B67-98B4-620517256206}"/>
    <hyperlink ref="E239" r:id="rId11" xr:uid="{9B946F9F-2688-4FC7-AC23-68365349D2BB}"/>
    <hyperlink ref="E241" r:id="rId12" xr:uid="{26DCD2C0-2FEB-4F04-8BFB-3430CCBB544E}"/>
    <hyperlink ref="E242" r:id="rId13" xr:uid="{C54BD119-B097-43DA-94F9-813EC9D49408}"/>
    <hyperlink ref="E244" r:id="rId14" xr:uid="{B030EA86-625D-4E07-A69A-509B0880F5F8}"/>
    <hyperlink ref="E245" r:id="rId15" xr:uid="{DF2CCD87-CB28-45D0-A64D-45BE21A427E4}"/>
    <hyperlink ref="E238" r:id="rId16" xr:uid="{860203F8-D799-4B14-8D5B-83BFFBEA91ED}"/>
  </hyperlinks>
  <pageMargins left="0.7" right="0.7" top="0.75" bottom="0.75" header="0.3" footer="0.3"/>
  <pageSetup orientation="portrait" horizontalDpi="0" verticalDpi="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4AA8E-130B-4D46-BB08-98EEAEB161F7}">
  <dimension ref="A1:J23"/>
  <sheetViews>
    <sheetView tabSelected="1" zoomScaleNormal="100" workbookViewId="0"/>
  </sheetViews>
  <sheetFormatPr defaultRowHeight="15" x14ac:dyDescent="0.25"/>
  <cols>
    <col min="1" max="1" width="39.42578125" bestFit="1" customWidth="1"/>
    <col min="2" max="2" width="12.42578125" bestFit="1" customWidth="1"/>
    <col min="3" max="3" width="7.42578125" bestFit="1" customWidth="1"/>
    <col min="4" max="4" width="10.7109375" customWidth="1"/>
    <col min="5" max="5" width="10.85546875" bestFit="1" customWidth="1"/>
    <col min="6" max="6" width="11.85546875" bestFit="1" customWidth="1"/>
    <col min="7" max="7" width="11.28515625" customWidth="1"/>
    <col min="8" max="8" width="9.85546875" bestFit="1" customWidth="1"/>
  </cols>
  <sheetData>
    <row r="1" spans="1:10" s="18" customFormat="1" x14ac:dyDescent="0.25"/>
    <row r="2" spans="1:10" s="22" customFormat="1" ht="30" x14ac:dyDescent="0.25">
      <c r="A2" s="22" t="s">
        <v>318</v>
      </c>
      <c r="B2" s="22" t="s">
        <v>323</v>
      </c>
    </row>
    <row r="3" spans="1:10" x14ac:dyDescent="0.25">
      <c r="A3" t="s">
        <v>319</v>
      </c>
      <c r="B3" s="54">
        <v>1.76</v>
      </c>
    </row>
    <row r="4" spans="1:10" x14ac:dyDescent="0.25">
      <c r="A4" t="s">
        <v>320</v>
      </c>
      <c r="B4" s="54">
        <v>0.78</v>
      </c>
    </row>
    <row r="5" spans="1:10" x14ac:dyDescent="0.25">
      <c r="A5" s="66" t="s">
        <v>333</v>
      </c>
      <c r="B5" s="18">
        <v>10</v>
      </c>
      <c r="C5" t="s">
        <v>335</v>
      </c>
    </row>
    <row r="6" spans="1:10" x14ac:dyDescent="0.25">
      <c r="A6" t="s">
        <v>331</v>
      </c>
      <c r="B6" s="19">
        <f>15.58*B5</f>
        <v>155.80000000000001</v>
      </c>
    </row>
    <row r="7" spans="1:10" x14ac:dyDescent="0.25">
      <c r="A7" t="s">
        <v>332</v>
      </c>
      <c r="B7" s="19">
        <f>122.4*B5</f>
        <v>1224</v>
      </c>
    </row>
    <row r="8" spans="1:10" x14ac:dyDescent="0.25">
      <c r="A8" t="s">
        <v>321</v>
      </c>
      <c r="B8" s="19">
        <v>8</v>
      </c>
    </row>
    <row r="9" spans="1:10" x14ac:dyDescent="0.25">
      <c r="A9" t="s">
        <v>322</v>
      </c>
      <c r="B9" s="54">
        <v>0.17</v>
      </c>
    </row>
    <row r="11" spans="1:10" x14ac:dyDescent="0.25">
      <c r="A11" t="s">
        <v>324</v>
      </c>
      <c r="B11" s="54">
        <f>B3-B4</f>
        <v>0.98</v>
      </c>
    </row>
    <row r="13" spans="1:10" s="22" customFormat="1" ht="30" x14ac:dyDescent="0.25">
      <c r="A13" s="22" t="s">
        <v>325</v>
      </c>
      <c r="B13" s="22" t="s">
        <v>326</v>
      </c>
      <c r="C13" s="22" t="s">
        <v>327</v>
      </c>
      <c r="D13" s="22" t="s">
        <v>329</v>
      </c>
      <c r="E13" s="22" t="s">
        <v>328</v>
      </c>
      <c r="F13" s="22" t="s">
        <v>330</v>
      </c>
      <c r="G13" s="22" t="s">
        <v>328</v>
      </c>
      <c r="H13" s="22" t="s">
        <v>334</v>
      </c>
    </row>
    <row r="14" spans="1:10" x14ac:dyDescent="0.25">
      <c r="A14">
        <v>1</v>
      </c>
      <c r="B14">
        <v>16</v>
      </c>
      <c r="C14">
        <f>B14*365</f>
        <v>5840</v>
      </c>
      <c r="D14" s="53">
        <f>B$3*1000</f>
        <v>1760</v>
      </c>
      <c r="E14" s="53">
        <f>D14</f>
        <v>1760</v>
      </c>
      <c r="F14" s="53">
        <f>B4*1000</f>
        <v>780</v>
      </c>
      <c r="G14" s="53">
        <f>F14</f>
        <v>780</v>
      </c>
      <c r="H14" s="53">
        <f>G14-E14</f>
        <v>-980</v>
      </c>
      <c r="J14" t="s">
        <v>417</v>
      </c>
    </row>
    <row r="15" spans="1:10" x14ac:dyDescent="0.25">
      <c r="A15">
        <f>A14+1</f>
        <v>2</v>
      </c>
      <c r="B15">
        <v>16</v>
      </c>
      <c r="C15">
        <f t="shared" ref="C15:C23" si="0">B15*365</f>
        <v>5840</v>
      </c>
      <c r="D15" s="53">
        <f t="shared" ref="D15:D23" si="1">(C$14*B$6*B$9)/1000</f>
        <v>154.67824000000002</v>
      </c>
      <c r="E15" s="53">
        <f>E14+D15</f>
        <v>1914.67824</v>
      </c>
      <c r="F15" s="53">
        <f t="shared" ref="F15:F23" si="2">(B$7*C$14*B$9)/1000</f>
        <v>1215.1872000000001</v>
      </c>
      <c r="G15" s="53">
        <f>G14+F15</f>
        <v>1995.1872000000001</v>
      </c>
      <c r="H15" s="53">
        <f t="shared" ref="H15:H23" si="3">G15-E15</f>
        <v>80.508960000000116</v>
      </c>
      <c r="J15" t="s">
        <v>418</v>
      </c>
    </row>
    <row r="16" spans="1:10" x14ac:dyDescent="0.25">
      <c r="A16">
        <f t="shared" ref="A16:A22" si="4">A15+1</f>
        <v>3</v>
      </c>
      <c r="B16">
        <v>16</v>
      </c>
      <c r="C16">
        <f t="shared" si="0"/>
        <v>5840</v>
      </c>
      <c r="D16" s="53">
        <f t="shared" si="1"/>
        <v>154.67824000000002</v>
      </c>
      <c r="E16" s="53">
        <f t="shared" ref="E16:E19" si="5">E15+D16</f>
        <v>2069.3564799999999</v>
      </c>
      <c r="F16" s="53">
        <f t="shared" si="2"/>
        <v>1215.1872000000001</v>
      </c>
      <c r="G16" s="53">
        <f t="shared" ref="G16:G19" si="6">G15+F16</f>
        <v>3210.3744000000002</v>
      </c>
      <c r="H16" s="53">
        <f t="shared" si="3"/>
        <v>1141.0179200000002</v>
      </c>
      <c r="J16" t="s">
        <v>416</v>
      </c>
    </row>
    <row r="17" spans="1:8" x14ac:dyDescent="0.25">
      <c r="A17">
        <f t="shared" si="4"/>
        <v>4</v>
      </c>
      <c r="B17">
        <v>16</v>
      </c>
      <c r="C17">
        <f t="shared" si="0"/>
        <v>5840</v>
      </c>
      <c r="D17" s="53">
        <f t="shared" si="1"/>
        <v>154.67824000000002</v>
      </c>
      <c r="E17" s="53">
        <f t="shared" si="5"/>
        <v>2224.0347200000001</v>
      </c>
      <c r="F17" s="53">
        <f t="shared" si="2"/>
        <v>1215.1872000000001</v>
      </c>
      <c r="G17" s="53">
        <f t="shared" si="6"/>
        <v>4425.5616</v>
      </c>
      <c r="H17" s="53">
        <f t="shared" si="3"/>
        <v>2201.5268799999999</v>
      </c>
    </row>
    <row r="18" spans="1:8" x14ac:dyDescent="0.25">
      <c r="A18">
        <f t="shared" si="4"/>
        <v>5</v>
      </c>
      <c r="B18">
        <v>16</v>
      </c>
      <c r="C18">
        <f t="shared" si="0"/>
        <v>5840</v>
      </c>
      <c r="D18" s="53">
        <f t="shared" si="1"/>
        <v>154.67824000000002</v>
      </c>
      <c r="E18" s="53">
        <f t="shared" si="5"/>
        <v>2378.7129600000003</v>
      </c>
      <c r="F18" s="53">
        <f t="shared" si="2"/>
        <v>1215.1872000000001</v>
      </c>
      <c r="G18" s="53">
        <f t="shared" si="6"/>
        <v>5640.7488000000003</v>
      </c>
      <c r="H18" s="53">
        <f t="shared" si="3"/>
        <v>3262.03584</v>
      </c>
    </row>
    <row r="19" spans="1:8" x14ac:dyDescent="0.25">
      <c r="A19">
        <f t="shared" si="4"/>
        <v>6</v>
      </c>
      <c r="B19">
        <v>16</v>
      </c>
      <c r="C19">
        <f t="shared" si="0"/>
        <v>5840</v>
      </c>
      <c r="D19" s="53">
        <f t="shared" si="1"/>
        <v>154.67824000000002</v>
      </c>
      <c r="E19" s="53">
        <f t="shared" si="5"/>
        <v>2533.3912000000005</v>
      </c>
      <c r="F19" s="53">
        <f t="shared" si="2"/>
        <v>1215.1872000000001</v>
      </c>
      <c r="G19" s="53">
        <f t="shared" si="6"/>
        <v>6855.9360000000006</v>
      </c>
      <c r="H19" s="53">
        <f t="shared" si="3"/>
        <v>4322.5447999999997</v>
      </c>
    </row>
    <row r="20" spans="1:8" x14ac:dyDescent="0.25">
      <c r="A20">
        <f t="shared" si="4"/>
        <v>7</v>
      </c>
      <c r="B20">
        <v>16</v>
      </c>
      <c r="C20">
        <f t="shared" si="0"/>
        <v>5840</v>
      </c>
      <c r="D20" s="53">
        <f t="shared" si="1"/>
        <v>154.67824000000002</v>
      </c>
      <c r="E20" s="53">
        <f t="shared" ref="E20:E22" si="7">E19+D20</f>
        <v>2688.0694400000007</v>
      </c>
      <c r="F20" s="53">
        <f t="shared" si="2"/>
        <v>1215.1872000000001</v>
      </c>
      <c r="G20" s="53">
        <f t="shared" ref="G20:G22" si="8">G19+F20</f>
        <v>8071.1232000000009</v>
      </c>
      <c r="H20" s="53">
        <f t="shared" si="3"/>
        <v>5383.0537600000007</v>
      </c>
    </row>
    <row r="21" spans="1:8" x14ac:dyDescent="0.25">
      <c r="A21">
        <f t="shared" si="4"/>
        <v>8</v>
      </c>
      <c r="B21">
        <v>16</v>
      </c>
      <c r="C21">
        <f t="shared" si="0"/>
        <v>5840</v>
      </c>
      <c r="D21" s="53">
        <f t="shared" si="1"/>
        <v>154.67824000000002</v>
      </c>
      <c r="E21" s="53">
        <f t="shared" si="7"/>
        <v>2842.7476800000009</v>
      </c>
      <c r="F21" s="53">
        <f t="shared" si="2"/>
        <v>1215.1872000000001</v>
      </c>
      <c r="G21" s="53">
        <f t="shared" si="8"/>
        <v>9286.3104000000003</v>
      </c>
      <c r="H21" s="53">
        <f t="shared" si="3"/>
        <v>6443.5627199999999</v>
      </c>
    </row>
    <row r="22" spans="1:8" x14ac:dyDescent="0.25">
      <c r="A22">
        <f t="shared" si="4"/>
        <v>9</v>
      </c>
      <c r="B22">
        <v>16</v>
      </c>
      <c r="C22">
        <f t="shared" si="0"/>
        <v>5840</v>
      </c>
      <c r="D22" s="53">
        <f t="shared" si="1"/>
        <v>154.67824000000002</v>
      </c>
      <c r="E22" s="53">
        <f t="shared" si="7"/>
        <v>2997.425920000001</v>
      </c>
      <c r="F22" s="53">
        <f t="shared" si="2"/>
        <v>1215.1872000000001</v>
      </c>
      <c r="G22" s="53">
        <f t="shared" si="8"/>
        <v>10501.497600000001</v>
      </c>
      <c r="H22" s="53">
        <f t="shared" si="3"/>
        <v>7504.0716799999991</v>
      </c>
    </row>
    <row r="23" spans="1:8" x14ac:dyDescent="0.25">
      <c r="A23">
        <f t="shared" ref="A23" si="9">A22+1</f>
        <v>10</v>
      </c>
      <c r="B23">
        <v>16</v>
      </c>
      <c r="C23">
        <f t="shared" si="0"/>
        <v>5840</v>
      </c>
      <c r="D23" s="53">
        <f t="shared" si="1"/>
        <v>154.67824000000002</v>
      </c>
      <c r="E23" s="53">
        <f t="shared" ref="E23" si="10">E22+D23</f>
        <v>3152.1041600000012</v>
      </c>
      <c r="F23" s="53">
        <f t="shared" si="2"/>
        <v>1215.1872000000001</v>
      </c>
      <c r="G23" s="53">
        <f t="shared" ref="G23" si="11">G22+F23</f>
        <v>11716.684800000001</v>
      </c>
      <c r="H23" s="53">
        <f t="shared" si="3"/>
        <v>8564.5806400000001</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9FB0-2D6E-4081-B04B-1D078E573242}">
  <dimension ref="A1:M122"/>
  <sheetViews>
    <sheetView workbookViewId="0"/>
  </sheetViews>
  <sheetFormatPr defaultRowHeight="15" x14ac:dyDescent="0.25"/>
  <cols>
    <col min="1" max="1" width="36.7109375" customWidth="1"/>
    <col min="2" max="2" width="9.5703125" customWidth="1"/>
    <col min="3" max="3" width="9.5703125" bestFit="1" customWidth="1"/>
    <col min="7" max="7" width="10.140625" bestFit="1" customWidth="1"/>
    <col min="8" max="8" width="12" bestFit="1" customWidth="1"/>
    <col min="9" max="9" width="10.28515625" customWidth="1"/>
    <col min="10" max="11" width="12" bestFit="1" customWidth="1"/>
    <col min="12" max="12" width="11.28515625" customWidth="1"/>
  </cols>
  <sheetData>
    <row r="1" spans="1:13" x14ac:dyDescent="0.25">
      <c r="A1" t="s">
        <v>336</v>
      </c>
    </row>
    <row r="2" spans="1:13" s="55" customFormat="1" x14ac:dyDescent="0.25">
      <c r="A2" s="55" t="s">
        <v>337</v>
      </c>
      <c r="B2" s="55" t="s">
        <v>338</v>
      </c>
      <c r="C2" s="55" t="s">
        <v>339</v>
      </c>
      <c r="D2" s="55" t="s">
        <v>20</v>
      </c>
      <c r="E2" s="55" t="s">
        <v>340</v>
      </c>
      <c r="F2" s="55" t="s">
        <v>341</v>
      </c>
      <c r="G2" s="55" t="s">
        <v>333</v>
      </c>
      <c r="H2" s="55" t="s">
        <v>342</v>
      </c>
      <c r="I2" s="55" t="s">
        <v>263</v>
      </c>
      <c r="J2" s="55" t="s">
        <v>343</v>
      </c>
      <c r="K2" s="55" t="s">
        <v>344</v>
      </c>
      <c r="L2" s="55" t="s">
        <v>345</v>
      </c>
    </row>
    <row r="3" spans="1:13" x14ac:dyDescent="0.25">
      <c r="A3" t="s">
        <v>346</v>
      </c>
      <c r="B3">
        <v>1</v>
      </c>
      <c r="C3" s="16">
        <v>1600</v>
      </c>
      <c r="D3" s="16">
        <f>30*30</f>
        <v>900</v>
      </c>
      <c r="E3" s="16">
        <v>12</v>
      </c>
      <c r="F3" s="56">
        <f>D3*E3</f>
        <v>10800</v>
      </c>
      <c r="G3" s="57">
        <f>C3*60/F3</f>
        <v>8.8888888888888893</v>
      </c>
      <c r="H3" s="16">
        <v>6.9</v>
      </c>
      <c r="I3" s="56">
        <f>H3*120</f>
        <v>828</v>
      </c>
      <c r="J3" s="57">
        <f>I3/C3</f>
        <v>0.51749999999999996</v>
      </c>
      <c r="K3" s="57">
        <f>I3/G3</f>
        <v>93.149999999999991</v>
      </c>
      <c r="L3" s="58">
        <v>350</v>
      </c>
      <c r="M3" t="s">
        <v>347</v>
      </c>
    </row>
    <row r="4" spans="1:13" x14ac:dyDescent="0.25">
      <c r="A4" t="s">
        <v>348</v>
      </c>
      <c r="B4">
        <v>1</v>
      </c>
      <c r="C4" s="16">
        <v>2700</v>
      </c>
      <c r="D4" s="16">
        <f>30*30</f>
        <v>900</v>
      </c>
      <c r="E4" s="16">
        <v>12</v>
      </c>
      <c r="F4" s="56">
        <f>D4*E4</f>
        <v>10800</v>
      </c>
      <c r="G4" s="57">
        <f>C4*60/F4</f>
        <v>15</v>
      </c>
      <c r="H4" s="16">
        <v>15.3</v>
      </c>
      <c r="I4" s="56">
        <f>H4*120</f>
        <v>1836</v>
      </c>
      <c r="J4" s="57">
        <f>I4/C4</f>
        <v>0.68</v>
      </c>
      <c r="K4" s="57">
        <f t="shared" ref="K4" si="0">I4/G4</f>
        <v>122.4</v>
      </c>
      <c r="L4" s="58">
        <v>700</v>
      </c>
      <c r="M4" t="s">
        <v>349</v>
      </c>
    </row>
    <row r="5" spans="1:13" x14ac:dyDescent="0.25">
      <c r="A5" t="s">
        <v>350</v>
      </c>
      <c r="B5">
        <f>H5/H$4</f>
        <v>1</v>
      </c>
      <c r="C5" s="56">
        <f>C$4*B5</f>
        <v>2700</v>
      </c>
      <c r="D5" s="16">
        <f>30*30</f>
        <v>900</v>
      </c>
      <c r="E5" s="16">
        <v>12</v>
      </c>
      <c r="F5" s="56">
        <f>D5*E5</f>
        <v>10800</v>
      </c>
      <c r="G5" s="57">
        <f>C5*60/F5</f>
        <v>15</v>
      </c>
      <c r="H5" s="16">
        <v>15.3</v>
      </c>
      <c r="I5" s="56">
        <f>H5*120</f>
        <v>1836</v>
      </c>
      <c r="J5" s="57">
        <f>I5/C5</f>
        <v>0.68</v>
      </c>
      <c r="K5" s="57">
        <f>I5/G5</f>
        <v>122.4</v>
      </c>
      <c r="L5" t="s">
        <v>351</v>
      </c>
      <c r="M5" t="s">
        <v>352</v>
      </c>
    </row>
    <row r="6" spans="1:13" x14ac:dyDescent="0.25">
      <c r="A6" t="s">
        <v>353</v>
      </c>
      <c r="B6" s="56">
        <f>H6/H$4</f>
        <v>0.79999999999999993</v>
      </c>
      <c r="C6" s="56">
        <f>C$4*B6</f>
        <v>2160</v>
      </c>
      <c r="D6" s="16">
        <f>30*30</f>
        <v>900</v>
      </c>
      <c r="E6" s="16">
        <v>12</v>
      </c>
      <c r="F6" s="56">
        <f>D6*E6</f>
        <v>10800</v>
      </c>
      <c r="G6" s="57">
        <f>C6*60/F6</f>
        <v>12</v>
      </c>
      <c r="H6" s="16">
        <v>12.24</v>
      </c>
      <c r="I6" s="56">
        <f>H6*120</f>
        <v>1468.8</v>
      </c>
      <c r="J6" s="57">
        <f>I6/C6</f>
        <v>0.67999999999999994</v>
      </c>
      <c r="K6" s="57">
        <f>I6/G6</f>
        <v>122.39999999999999</v>
      </c>
      <c r="L6" t="s">
        <v>351</v>
      </c>
    </row>
    <row r="8" spans="1:13" x14ac:dyDescent="0.25">
      <c r="C8" t="s">
        <v>354</v>
      </c>
    </row>
    <row r="9" spans="1:13" x14ac:dyDescent="0.25">
      <c r="C9" t="s">
        <v>355</v>
      </c>
    </row>
    <row r="10" spans="1:13" s="55" customFormat="1" ht="30" x14ac:dyDescent="0.25">
      <c r="A10" s="16" t="s">
        <v>356</v>
      </c>
      <c r="B10" s="16" t="s">
        <v>338</v>
      </c>
      <c r="C10" s="55" t="s">
        <v>357</v>
      </c>
      <c r="D10" s="55" t="s">
        <v>20</v>
      </c>
      <c r="E10" s="55" t="s">
        <v>340</v>
      </c>
      <c r="F10" s="55" t="s">
        <v>341</v>
      </c>
      <c r="G10" s="55" t="s">
        <v>358</v>
      </c>
      <c r="H10" s="55" t="s">
        <v>342</v>
      </c>
      <c r="I10" s="55" t="s">
        <v>263</v>
      </c>
      <c r="J10" s="55" t="s">
        <v>359</v>
      </c>
      <c r="K10" s="55" t="s">
        <v>360</v>
      </c>
      <c r="L10" s="55" t="s">
        <v>345</v>
      </c>
    </row>
    <row r="11" spans="1:13" x14ac:dyDescent="0.25">
      <c r="A11" t="s">
        <v>361</v>
      </c>
      <c r="B11">
        <v>1</v>
      </c>
      <c r="C11">
        <f>G11*F11/60</f>
        <v>2200</v>
      </c>
      <c r="D11" s="16">
        <v>550</v>
      </c>
      <c r="E11" s="16">
        <v>12</v>
      </c>
      <c r="F11" s="56">
        <f>D11*E11</f>
        <v>6600</v>
      </c>
      <c r="G11" s="16">
        <v>20</v>
      </c>
      <c r="H11" s="57">
        <f>I11/120</f>
        <v>1.5833333333333333</v>
      </c>
      <c r="I11" s="56">
        <f>95*2</f>
        <v>190</v>
      </c>
      <c r="J11" s="57">
        <f>I11/C11</f>
        <v>8.6363636363636365E-2</v>
      </c>
      <c r="K11" s="57">
        <f>I11/G11</f>
        <v>9.5</v>
      </c>
      <c r="L11" t="s">
        <v>351</v>
      </c>
      <c r="M11" t="s">
        <v>362</v>
      </c>
    </row>
    <row r="12" spans="1:13" x14ac:dyDescent="0.25">
      <c r="A12" t="s">
        <v>363</v>
      </c>
      <c r="B12">
        <v>1.64</v>
      </c>
      <c r="C12">
        <f>G12*F12/60</f>
        <v>3608</v>
      </c>
      <c r="D12" s="16">
        <f>550*B12</f>
        <v>902</v>
      </c>
      <c r="E12" s="16">
        <v>12</v>
      </c>
      <c r="F12" s="56">
        <f>D12*E12</f>
        <v>10824</v>
      </c>
      <c r="G12" s="16">
        <v>20</v>
      </c>
      <c r="H12" s="57">
        <f>I12/120</f>
        <v>2.5966666666666662</v>
      </c>
      <c r="I12" s="56">
        <f>95*2*B12</f>
        <v>311.59999999999997</v>
      </c>
      <c r="J12" s="57">
        <f>I12/C12</f>
        <v>8.6363636363636351E-2</v>
      </c>
      <c r="K12" s="57">
        <f>I12/G12</f>
        <v>15.579999999999998</v>
      </c>
      <c r="L12" t="s">
        <v>351</v>
      </c>
      <c r="M12" t="s">
        <v>362</v>
      </c>
    </row>
    <row r="13" spans="1:13" x14ac:dyDescent="0.25">
      <c r="A13" t="s">
        <v>364</v>
      </c>
      <c r="B13">
        <f>B$12*G13/G$12</f>
        <v>1.64</v>
      </c>
      <c r="C13">
        <f>G13*F13/60</f>
        <v>3608</v>
      </c>
      <c r="D13" s="16">
        <f>D$12</f>
        <v>902</v>
      </c>
      <c r="E13" s="16">
        <v>12</v>
      </c>
      <c r="F13" s="56">
        <f>D13*E13</f>
        <v>10824</v>
      </c>
      <c r="G13" s="16">
        <v>20</v>
      </c>
      <c r="H13" s="57">
        <f>I13/120</f>
        <v>2.5966666666666662</v>
      </c>
      <c r="I13" s="56">
        <f>95*2*B13</f>
        <v>311.59999999999997</v>
      </c>
      <c r="J13" s="57">
        <f>I13/C13</f>
        <v>8.6363636363636351E-2</v>
      </c>
      <c r="K13" s="57">
        <f>I13/G13</f>
        <v>15.579999999999998</v>
      </c>
      <c r="L13" t="s">
        <v>351</v>
      </c>
      <c r="M13" t="s">
        <v>352</v>
      </c>
    </row>
    <row r="14" spans="1:13" x14ac:dyDescent="0.25">
      <c r="A14" t="s">
        <v>353</v>
      </c>
      <c r="B14">
        <f>B$12*G14/G$12</f>
        <v>0.98399999999999999</v>
      </c>
      <c r="C14">
        <f>G14*F14/60</f>
        <v>2164.8000000000002</v>
      </c>
      <c r="D14" s="16">
        <f>D$12</f>
        <v>902</v>
      </c>
      <c r="E14" s="16">
        <v>12</v>
      </c>
      <c r="F14" s="56">
        <f>D14*E14</f>
        <v>10824</v>
      </c>
      <c r="G14" s="16">
        <v>12</v>
      </c>
      <c r="H14" s="57">
        <f>I14/120</f>
        <v>1.5580000000000001</v>
      </c>
      <c r="I14" s="56">
        <f>95*2*B14</f>
        <v>186.96</v>
      </c>
      <c r="J14" s="57">
        <f>I14/C14</f>
        <v>8.6363636363636365E-2</v>
      </c>
      <c r="K14" s="57">
        <f>I14/G14</f>
        <v>15.58</v>
      </c>
      <c r="L14" t="s">
        <v>351</v>
      </c>
    </row>
    <row r="15" spans="1:13" x14ac:dyDescent="0.25">
      <c r="D15" s="16"/>
      <c r="E15" s="16"/>
      <c r="F15" s="56"/>
      <c r="G15" s="16"/>
      <c r="H15" s="57"/>
      <c r="I15" s="56"/>
      <c r="J15" s="57"/>
      <c r="K15" s="57"/>
    </row>
    <row r="16" spans="1:13" x14ac:dyDescent="0.25">
      <c r="A16" t="s">
        <v>365</v>
      </c>
    </row>
    <row r="18" spans="1:13" x14ac:dyDescent="0.25">
      <c r="A18" t="s">
        <v>366</v>
      </c>
    </row>
    <row r="19" spans="1:13" x14ac:dyDescent="0.25">
      <c r="A19" t="s">
        <v>367</v>
      </c>
      <c r="G19">
        <f t="shared" ref="G19:H19" si="1">G6/G14</f>
        <v>1</v>
      </c>
      <c r="H19">
        <f t="shared" si="1"/>
        <v>7.8562259306803597</v>
      </c>
      <c r="I19">
        <f>I6/I14</f>
        <v>7.8562259306803588</v>
      </c>
      <c r="J19">
        <f t="shared" ref="J19:K19" si="2">J6/J14</f>
        <v>7.8736842105263154</v>
      </c>
      <c r="K19">
        <f t="shared" si="2"/>
        <v>7.8562259306803588</v>
      </c>
      <c r="M19" t="s">
        <v>368</v>
      </c>
    </row>
    <row r="22" spans="1:13" x14ac:dyDescent="0.25">
      <c r="A22" t="s">
        <v>369</v>
      </c>
    </row>
    <row r="23" spans="1:13" s="2" customFormat="1" ht="45" x14ac:dyDescent="0.25">
      <c r="A23" s="2" t="s">
        <v>370</v>
      </c>
      <c r="B23" s="55" t="s">
        <v>371</v>
      </c>
      <c r="C23" s="55" t="s">
        <v>372</v>
      </c>
      <c r="D23" s="55" t="s">
        <v>373</v>
      </c>
      <c r="E23" s="55" t="s">
        <v>374</v>
      </c>
      <c r="F23" s="55" t="s">
        <v>375</v>
      </c>
      <c r="G23" s="55" t="s">
        <v>376</v>
      </c>
      <c r="H23" s="55" t="s">
        <v>377</v>
      </c>
    </row>
    <row r="24" spans="1:13" x14ac:dyDescent="0.25">
      <c r="A24" t="s">
        <v>378</v>
      </c>
      <c r="B24">
        <v>0</v>
      </c>
      <c r="C24" s="59">
        <v>1</v>
      </c>
      <c r="D24" s="59">
        <v>1</v>
      </c>
      <c r="E24" s="59">
        <v>1</v>
      </c>
      <c r="F24" s="59">
        <v>1</v>
      </c>
      <c r="G24" s="59">
        <v>1</v>
      </c>
      <c r="H24" s="59">
        <v>1</v>
      </c>
    </row>
    <row r="25" spans="1:13" x14ac:dyDescent="0.25">
      <c r="A25" t="s">
        <v>379</v>
      </c>
      <c r="B25">
        <v>1</v>
      </c>
      <c r="C25" s="60">
        <f>F25/60</f>
        <v>1.6666666666666666E-2</v>
      </c>
      <c r="D25" s="59">
        <f>F25*10/60</f>
        <v>0.16666666666666666</v>
      </c>
      <c r="E25" s="59">
        <f>F25*30/60</f>
        <v>0.5</v>
      </c>
      <c r="F25" s="59">
        <f t="shared" ref="F25:H30" si="3">1/$B25</f>
        <v>1</v>
      </c>
      <c r="G25" s="59">
        <f t="shared" si="3"/>
        <v>1</v>
      </c>
      <c r="H25" s="59">
        <f t="shared" si="3"/>
        <v>1</v>
      </c>
    </row>
    <row r="26" spans="1:13" x14ac:dyDescent="0.25">
      <c r="A26" t="s">
        <v>380</v>
      </c>
      <c r="B26">
        <v>4</v>
      </c>
      <c r="C26" s="60">
        <f t="shared" ref="C26:C30" si="4">F26/60</f>
        <v>4.1666666666666666E-3</v>
      </c>
      <c r="D26" s="59">
        <f>F26*10/60</f>
        <v>4.1666666666666664E-2</v>
      </c>
      <c r="E26" s="59">
        <f t="shared" ref="E26:E30" si="5">F26*30/60</f>
        <v>0.125</v>
      </c>
      <c r="F26" s="59">
        <f t="shared" si="3"/>
        <v>0.25</v>
      </c>
      <c r="G26" s="59">
        <f t="shared" si="3"/>
        <v>0.25</v>
      </c>
      <c r="H26" s="59">
        <f t="shared" si="3"/>
        <v>0.25</v>
      </c>
    </row>
    <row r="27" spans="1:13" x14ac:dyDescent="0.25">
      <c r="A27" t="s">
        <v>381</v>
      </c>
      <c r="B27">
        <v>6</v>
      </c>
      <c r="C27" s="60">
        <f t="shared" si="4"/>
        <v>2.7777777777777775E-3</v>
      </c>
      <c r="D27" s="59">
        <f t="shared" ref="D27:D30" si="6">F27*10/60</f>
        <v>2.7777777777777776E-2</v>
      </c>
      <c r="E27" s="59">
        <f t="shared" si="5"/>
        <v>8.3333333333333329E-2</v>
      </c>
      <c r="F27" s="59">
        <f t="shared" si="3"/>
        <v>0.16666666666666666</v>
      </c>
      <c r="G27" s="59">
        <f t="shared" si="3"/>
        <v>0.16666666666666666</v>
      </c>
      <c r="H27" s="59">
        <f t="shared" si="3"/>
        <v>0.16666666666666666</v>
      </c>
    </row>
    <row r="28" spans="1:13" x14ac:dyDescent="0.25">
      <c r="A28" t="s">
        <v>382</v>
      </c>
      <c r="B28">
        <v>12</v>
      </c>
      <c r="C28" s="60">
        <f t="shared" si="4"/>
        <v>1.3888888888888887E-3</v>
      </c>
      <c r="D28" s="61">
        <f t="shared" si="6"/>
        <v>1.3888888888888888E-2</v>
      </c>
      <c r="E28" s="59">
        <f t="shared" si="5"/>
        <v>4.1666666666666664E-2</v>
      </c>
      <c r="F28" s="59">
        <f t="shared" si="3"/>
        <v>8.3333333333333329E-2</v>
      </c>
      <c r="G28" s="59">
        <f t="shared" si="3"/>
        <v>8.3333333333333329E-2</v>
      </c>
      <c r="H28" s="59">
        <f t="shared" si="3"/>
        <v>8.3333333333333329E-2</v>
      </c>
      <c r="I28" s="16" t="s">
        <v>383</v>
      </c>
    </row>
    <row r="29" spans="1:13" x14ac:dyDescent="0.25">
      <c r="A29" t="s">
        <v>384</v>
      </c>
      <c r="B29">
        <v>20</v>
      </c>
      <c r="C29" s="60">
        <f t="shared" si="4"/>
        <v>8.3333333333333339E-4</v>
      </c>
      <c r="D29" s="61">
        <f t="shared" si="6"/>
        <v>8.3333333333333332E-3</v>
      </c>
      <c r="E29" s="61">
        <f t="shared" si="5"/>
        <v>2.5000000000000001E-2</v>
      </c>
      <c r="F29" s="59">
        <f t="shared" si="3"/>
        <v>0.05</v>
      </c>
      <c r="G29" s="59">
        <f t="shared" si="3"/>
        <v>0.05</v>
      </c>
      <c r="H29" s="59">
        <f t="shared" si="3"/>
        <v>0.05</v>
      </c>
      <c r="I29" s="16" t="s">
        <v>383</v>
      </c>
    </row>
    <row r="30" spans="1:13" x14ac:dyDescent="0.25">
      <c r="A30" t="s">
        <v>385</v>
      </c>
      <c r="B30">
        <v>24</v>
      </c>
      <c r="C30" s="60">
        <f t="shared" si="4"/>
        <v>6.9444444444444436E-4</v>
      </c>
      <c r="D30" s="61">
        <f t="shared" si="6"/>
        <v>6.9444444444444441E-3</v>
      </c>
      <c r="E30" s="59">
        <f t="shared" si="5"/>
        <v>2.0833333333333332E-2</v>
      </c>
      <c r="F30" s="59">
        <f t="shared" si="3"/>
        <v>4.1666666666666664E-2</v>
      </c>
      <c r="G30" s="59">
        <f t="shared" si="3"/>
        <v>4.1666666666666664E-2</v>
      </c>
      <c r="H30" s="59">
        <f t="shared" si="3"/>
        <v>4.1666666666666664E-2</v>
      </c>
      <c r="I30" s="16" t="s">
        <v>386</v>
      </c>
    </row>
    <row r="32" spans="1:13" x14ac:dyDescent="0.25">
      <c r="A32" t="s">
        <v>387</v>
      </c>
    </row>
    <row r="33" spans="1:12" x14ac:dyDescent="0.25">
      <c r="A33" t="s">
        <v>388</v>
      </c>
    </row>
    <row r="34" spans="1:12" x14ac:dyDescent="0.25">
      <c r="A34" t="s">
        <v>389</v>
      </c>
    </row>
    <row r="37" spans="1:12" x14ac:dyDescent="0.25">
      <c r="A37" t="s">
        <v>390</v>
      </c>
    </row>
    <row r="38" spans="1:12" x14ac:dyDescent="0.25">
      <c r="A38" t="s">
        <v>391</v>
      </c>
    </row>
    <row r="39" spans="1:12" x14ac:dyDescent="0.25">
      <c r="A39" t="s">
        <v>392</v>
      </c>
    </row>
    <row r="40" spans="1:12" x14ac:dyDescent="0.25">
      <c r="A40" t="s">
        <v>393</v>
      </c>
    </row>
    <row r="41" spans="1:12" x14ac:dyDescent="0.25">
      <c r="A41" t="s">
        <v>394</v>
      </c>
    </row>
    <row r="42" spans="1:12" x14ac:dyDescent="0.25">
      <c r="A42" t="s">
        <v>395</v>
      </c>
    </row>
    <row r="44" spans="1:12" x14ac:dyDescent="0.25">
      <c r="A44" t="s">
        <v>396</v>
      </c>
    </row>
    <row r="45" spans="1:12" ht="45" x14ac:dyDescent="0.25">
      <c r="A45" s="55" t="s">
        <v>370</v>
      </c>
      <c r="B45" s="55" t="s">
        <v>397</v>
      </c>
      <c r="C45" s="55" t="s">
        <v>398</v>
      </c>
      <c r="D45" s="55" t="s">
        <v>399</v>
      </c>
      <c r="E45" s="55" t="s">
        <v>400</v>
      </c>
      <c r="F45" s="55" t="s">
        <v>401</v>
      </c>
      <c r="G45" s="55" t="s">
        <v>402</v>
      </c>
      <c r="H45" s="55" t="s">
        <v>403</v>
      </c>
      <c r="I45" s="55" t="s">
        <v>404</v>
      </c>
      <c r="J45" s="55" t="s">
        <v>405</v>
      </c>
      <c r="K45" s="55" t="s">
        <v>406</v>
      </c>
      <c r="L45" s="55" t="s">
        <v>12</v>
      </c>
    </row>
    <row r="46" spans="1:12" x14ac:dyDescent="0.25">
      <c r="A46" t="s">
        <v>407</v>
      </c>
      <c r="B46" s="62" t="s">
        <v>351</v>
      </c>
      <c r="E46" s="63">
        <v>1200</v>
      </c>
      <c r="F46" s="64">
        <f>E46*1</f>
        <v>1200</v>
      </c>
      <c r="G46" s="64">
        <f>E46*10</f>
        <v>12000</v>
      </c>
      <c r="H46" s="64">
        <f>E46*30</f>
        <v>36000</v>
      </c>
      <c r="I46" s="64">
        <f>E46*60</f>
        <v>72000</v>
      </c>
      <c r="J46" s="64">
        <f>E46*120</f>
        <v>144000</v>
      </c>
      <c r="K46" s="64">
        <f>E46*240</f>
        <v>288000</v>
      </c>
    </row>
    <row r="47" spans="1:12" x14ac:dyDescent="0.25">
      <c r="A47" t="s">
        <v>408</v>
      </c>
      <c r="B47" s="62" t="s">
        <v>351</v>
      </c>
      <c r="C47">
        <v>30</v>
      </c>
      <c r="D47" s="64">
        <f t="shared" ref="D47:D50" si="7">(C47*C47/4)*4</f>
        <v>900</v>
      </c>
      <c r="E47" s="62" t="s">
        <v>351</v>
      </c>
      <c r="F47" s="64">
        <f t="shared" ref="F47:K47" si="8">F46/$D47</f>
        <v>1.3333333333333333</v>
      </c>
      <c r="G47" s="64">
        <f t="shared" si="8"/>
        <v>13.333333333333334</v>
      </c>
      <c r="H47" s="64">
        <f t="shared" si="8"/>
        <v>40</v>
      </c>
      <c r="I47" s="65">
        <f t="shared" si="8"/>
        <v>80</v>
      </c>
      <c r="J47" s="64">
        <f t="shared" si="8"/>
        <v>160</v>
      </c>
      <c r="K47" s="64">
        <f t="shared" si="8"/>
        <v>320</v>
      </c>
      <c r="L47" t="s">
        <v>409</v>
      </c>
    </row>
    <row r="48" spans="1:12" x14ac:dyDescent="0.25">
      <c r="A48" t="s">
        <v>408</v>
      </c>
      <c r="B48" s="62" t="s">
        <v>351</v>
      </c>
      <c r="C48">
        <v>10</v>
      </c>
      <c r="D48" s="64">
        <f t="shared" si="7"/>
        <v>100</v>
      </c>
      <c r="E48" s="62" t="s">
        <v>351</v>
      </c>
      <c r="F48" s="64">
        <f t="shared" ref="F48:K48" si="9">F46/$D48</f>
        <v>12</v>
      </c>
      <c r="G48" s="64">
        <f t="shared" si="9"/>
        <v>120</v>
      </c>
      <c r="H48" s="64">
        <f t="shared" si="9"/>
        <v>360</v>
      </c>
      <c r="I48" s="64">
        <f t="shared" si="9"/>
        <v>720</v>
      </c>
      <c r="J48" s="64">
        <f t="shared" si="9"/>
        <v>1440</v>
      </c>
      <c r="K48" s="64">
        <f t="shared" si="9"/>
        <v>2880</v>
      </c>
      <c r="L48" t="s">
        <v>410</v>
      </c>
    </row>
    <row r="49" spans="1:12" x14ac:dyDescent="0.25">
      <c r="A49" t="s">
        <v>408</v>
      </c>
      <c r="B49" s="62" t="s">
        <v>351</v>
      </c>
      <c r="C49">
        <v>6</v>
      </c>
      <c r="D49" s="64">
        <f t="shared" si="7"/>
        <v>36</v>
      </c>
      <c r="E49" s="62" t="s">
        <v>351</v>
      </c>
      <c r="F49" s="64">
        <f t="shared" ref="F49:K49" si="10">F46/$D49</f>
        <v>33.333333333333336</v>
      </c>
      <c r="G49" s="64">
        <f t="shared" si="10"/>
        <v>333.33333333333331</v>
      </c>
      <c r="H49" s="64">
        <f t="shared" si="10"/>
        <v>1000</v>
      </c>
      <c r="I49" s="64">
        <f t="shared" si="10"/>
        <v>2000</v>
      </c>
      <c r="J49" s="64">
        <f t="shared" si="10"/>
        <v>4000</v>
      </c>
      <c r="K49" s="64">
        <f t="shared" si="10"/>
        <v>8000</v>
      </c>
      <c r="L49" t="s">
        <v>410</v>
      </c>
    </row>
    <row r="50" spans="1:12" x14ac:dyDescent="0.25">
      <c r="A50" t="s">
        <v>408</v>
      </c>
      <c r="B50" s="62" t="s">
        <v>351</v>
      </c>
      <c r="C50">
        <v>2</v>
      </c>
      <c r="D50" s="64">
        <f t="shared" si="7"/>
        <v>4</v>
      </c>
      <c r="E50" s="62" t="s">
        <v>351</v>
      </c>
      <c r="F50" s="64">
        <f t="shared" ref="F50:K50" si="11">F46/$D50</f>
        <v>300</v>
      </c>
      <c r="G50" s="64">
        <f t="shared" si="11"/>
        <v>3000</v>
      </c>
      <c r="H50" s="64">
        <f t="shared" si="11"/>
        <v>9000</v>
      </c>
      <c r="I50" s="64">
        <f t="shared" si="11"/>
        <v>18000</v>
      </c>
      <c r="J50" s="64">
        <f t="shared" si="11"/>
        <v>36000</v>
      </c>
      <c r="K50" s="64">
        <f t="shared" si="11"/>
        <v>72000</v>
      </c>
      <c r="L50" t="s">
        <v>410</v>
      </c>
    </row>
    <row r="51" spans="1:12" x14ac:dyDescent="0.25">
      <c r="A51" t="s">
        <v>408</v>
      </c>
      <c r="B51" s="62" t="s">
        <v>351</v>
      </c>
      <c r="C51">
        <v>1</v>
      </c>
      <c r="D51" s="64">
        <f>(C51*C51/4)*4</f>
        <v>1</v>
      </c>
      <c r="E51" s="62" t="s">
        <v>351</v>
      </c>
      <c r="F51" s="64">
        <f t="shared" ref="F51:K51" si="12">F46/$D51</f>
        <v>1200</v>
      </c>
      <c r="G51" s="64">
        <f t="shared" si="12"/>
        <v>12000</v>
      </c>
      <c r="H51" s="64">
        <f t="shared" si="12"/>
        <v>36000</v>
      </c>
      <c r="I51" s="64">
        <f t="shared" si="12"/>
        <v>72000</v>
      </c>
      <c r="J51" s="64">
        <f t="shared" si="12"/>
        <v>144000</v>
      </c>
      <c r="K51" s="64">
        <f t="shared" si="12"/>
        <v>288000</v>
      </c>
      <c r="L51" t="s">
        <v>410</v>
      </c>
    </row>
    <row r="52" spans="1:12" x14ac:dyDescent="0.25">
      <c r="A52" s="66" t="s">
        <v>411</v>
      </c>
      <c r="B52" s="67">
        <f>I47/E46</f>
        <v>6.6666666666666666E-2</v>
      </c>
      <c r="C52" s="68">
        <f>B52</f>
        <v>6.6666666666666666E-2</v>
      </c>
      <c r="D52" t="s">
        <v>412</v>
      </c>
    </row>
    <row r="53" spans="1:12" x14ac:dyDescent="0.25">
      <c r="A53" s="66"/>
      <c r="B53" s="16"/>
    </row>
    <row r="54" spans="1:12" x14ac:dyDescent="0.25">
      <c r="A54" t="s">
        <v>413</v>
      </c>
    </row>
    <row r="55" spans="1:12" s="55" customFormat="1" ht="45" x14ac:dyDescent="0.25">
      <c r="A55" s="55" t="s">
        <v>370</v>
      </c>
      <c r="B55" s="55" t="s">
        <v>397</v>
      </c>
      <c r="C55" s="55" t="s">
        <v>398</v>
      </c>
      <c r="D55" s="55" t="s">
        <v>399</v>
      </c>
      <c r="E55" s="55" t="s">
        <v>400</v>
      </c>
      <c r="F55" s="55" t="s">
        <v>401</v>
      </c>
      <c r="G55" s="55" t="s">
        <v>402</v>
      </c>
      <c r="H55" s="55" t="s">
        <v>403</v>
      </c>
      <c r="I55" s="55" t="s">
        <v>404</v>
      </c>
      <c r="J55" s="55" t="s">
        <v>405</v>
      </c>
      <c r="K55" s="55" t="s">
        <v>406</v>
      </c>
      <c r="L55" s="55" t="s">
        <v>12</v>
      </c>
    </row>
    <row r="56" spans="1:12" x14ac:dyDescent="0.25">
      <c r="A56" t="s">
        <v>407</v>
      </c>
      <c r="B56" s="62" t="s">
        <v>351</v>
      </c>
      <c r="E56" s="63">
        <v>1200</v>
      </c>
      <c r="F56" s="64">
        <f>E56*1</f>
        <v>1200</v>
      </c>
      <c r="G56" s="64">
        <f>E56*10</f>
        <v>12000</v>
      </c>
      <c r="H56" s="64">
        <f>E56*30</f>
        <v>36000</v>
      </c>
      <c r="I56" s="64">
        <f>E56*60</f>
        <v>72000</v>
      </c>
      <c r="J56" s="64">
        <f>E56*120</f>
        <v>144000</v>
      </c>
      <c r="K56" s="64">
        <f>E56*240</f>
        <v>288000</v>
      </c>
    </row>
    <row r="57" spans="1:12" x14ac:dyDescent="0.25">
      <c r="A57" t="s">
        <v>408</v>
      </c>
      <c r="B57" s="64">
        <f>30*30*12</f>
        <v>10800</v>
      </c>
      <c r="C57">
        <v>30</v>
      </c>
      <c r="D57" s="64">
        <f t="shared" ref="D57:D60" si="13">(C57*C57/4)*4</f>
        <v>900</v>
      </c>
      <c r="E57" s="62" t="s">
        <v>351</v>
      </c>
      <c r="F57" s="64">
        <f t="shared" ref="F57:K57" si="14">F56/$B57</f>
        <v>0.1111111111111111</v>
      </c>
      <c r="G57" s="69">
        <f t="shared" si="14"/>
        <v>1.1111111111111112</v>
      </c>
      <c r="H57" s="69">
        <f t="shared" si="14"/>
        <v>3.3333333333333335</v>
      </c>
      <c r="I57" s="65">
        <f t="shared" si="14"/>
        <v>6.666666666666667</v>
      </c>
      <c r="J57" s="69">
        <f t="shared" si="14"/>
        <v>13.333333333333334</v>
      </c>
      <c r="K57" s="64">
        <f t="shared" si="14"/>
        <v>26.666666666666668</v>
      </c>
      <c r="L57" t="s">
        <v>409</v>
      </c>
    </row>
    <row r="58" spans="1:12" x14ac:dyDescent="0.25">
      <c r="A58" t="s">
        <v>408</v>
      </c>
      <c r="B58" s="64">
        <f t="shared" ref="B58:B59" si="15">30*30*12</f>
        <v>10800</v>
      </c>
      <c r="C58">
        <v>10</v>
      </c>
      <c r="D58" s="64">
        <f t="shared" si="13"/>
        <v>100</v>
      </c>
      <c r="E58" s="62" t="s">
        <v>351</v>
      </c>
      <c r="F58" s="64">
        <f>F56/$D58</f>
        <v>12</v>
      </c>
      <c r="G58" s="69">
        <f>G56/$B58</f>
        <v>1.1111111111111112</v>
      </c>
      <c r="H58" s="69">
        <f>H56/$B58</f>
        <v>3.3333333333333335</v>
      </c>
      <c r="I58" s="69">
        <f>I56/$B58</f>
        <v>6.666666666666667</v>
      </c>
      <c r="J58" s="69">
        <f>J56/$B58</f>
        <v>13.333333333333334</v>
      </c>
      <c r="K58" s="64">
        <f>K56/$B58</f>
        <v>26.666666666666668</v>
      </c>
      <c r="L58" t="s">
        <v>414</v>
      </c>
    </row>
    <row r="59" spans="1:12" x14ac:dyDescent="0.25">
      <c r="A59" t="s">
        <v>408</v>
      </c>
      <c r="B59" s="64">
        <f t="shared" si="15"/>
        <v>10800</v>
      </c>
      <c r="C59">
        <v>6</v>
      </c>
      <c r="D59" s="64">
        <f t="shared" si="13"/>
        <v>36</v>
      </c>
      <c r="E59" s="62" t="s">
        <v>351</v>
      </c>
      <c r="F59" s="64">
        <f>F56/$D59</f>
        <v>33.333333333333336</v>
      </c>
      <c r="G59" s="69">
        <f>G56/$B59</f>
        <v>1.1111111111111112</v>
      </c>
      <c r="H59" s="69">
        <f>H56/$B59</f>
        <v>3.3333333333333335</v>
      </c>
      <c r="I59" s="69">
        <f>I56/$B59</f>
        <v>6.666666666666667</v>
      </c>
      <c r="J59" s="69">
        <f>J56/$B59</f>
        <v>13.333333333333334</v>
      </c>
      <c r="K59" s="64">
        <f>K56/$B59</f>
        <v>26.666666666666668</v>
      </c>
      <c r="L59" t="s">
        <v>414</v>
      </c>
    </row>
    <row r="60" spans="1:12" x14ac:dyDescent="0.25">
      <c r="A60" t="s">
        <v>408</v>
      </c>
      <c r="B60" s="62" t="s">
        <v>351</v>
      </c>
      <c r="C60">
        <v>2</v>
      </c>
      <c r="D60" s="64">
        <f t="shared" si="13"/>
        <v>4</v>
      </c>
      <c r="E60" s="62" t="s">
        <v>351</v>
      </c>
      <c r="F60" s="64">
        <f>F56/$D60</f>
        <v>300</v>
      </c>
      <c r="G60" s="64">
        <f>G56/$D60</f>
        <v>3000</v>
      </c>
      <c r="H60" s="64">
        <f>H56/$D60</f>
        <v>9000</v>
      </c>
      <c r="I60" s="64">
        <f>I56/$D60</f>
        <v>18000</v>
      </c>
      <c r="J60" s="64">
        <f>J56/$D60</f>
        <v>36000</v>
      </c>
      <c r="K60" s="64">
        <f>$F56/$D60</f>
        <v>300</v>
      </c>
      <c r="L60" t="s">
        <v>414</v>
      </c>
    </row>
    <row r="61" spans="1:12" x14ac:dyDescent="0.25">
      <c r="A61" t="s">
        <v>408</v>
      </c>
      <c r="B61" s="62" t="s">
        <v>351</v>
      </c>
      <c r="C61">
        <v>1</v>
      </c>
      <c r="D61" s="64">
        <f>(C61*C61/4)*4</f>
        <v>1</v>
      </c>
      <c r="E61" s="62" t="s">
        <v>351</v>
      </c>
      <c r="F61" s="64">
        <f>F56/$D61</f>
        <v>1200</v>
      </c>
      <c r="G61" s="64">
        <f>G56/$D61</f>
        <v>12000</v>
      </c>
      <c r="H61" s="64">
        <f>H56/$D61</f>
        <v>36000</v>
      </c>
      <c r="I61" s="64">
        <f>I56/$D61</f>
        <v>72000</v>
      </c>
      <c r="J61" s="64">
        <f>J56/$D61</f>
        <v>144000</v>
      </c>
      <c r="K61" s="64">
        <f>$F56/$D61</f>
        <v>1200</v>
      </c>
      <c r="L61" t="s">
        <v>414</v>
      </c>
    </row>
    <row r="62" spans="1:12" x14ac:dyDescent="0.25">
      <c r="A62" s="66" t="s">
        <v>415</v>
      </c>
      <c r="B62" s="67">
        <f>I57/E56</f>
        <v>5.5555555555555558E-3</v>
      </c>
      <c r="C62" s="68">
        <f>B62</f>
        <v>5.5555555555555558E-3</v>
      </c>
      <c r="D62" t="s">
        <v>412</v>
      </c>
    </row>
    <row r="64" spans="1:12" x14ac:dyDescent="0.25">
      <c r="A64" t="s">
        <v>396</v>
      </c>
    </row>
    <row r="65" spans="1:12" ht="45" x14ac:dyDescent="0.25">
      <c r="A65" s="55" t="s">
        <v>370</v>
      </c>
      <c r="B65" s="55" t="s">
        <v>397</v>
      </c>
      <c r="C65" s="55" t="s">
        <v>398</v>
      </c>
      <c r="D65" s="55" t="s">
        <v>399</v>
      </c>
      <c r="E65" s="55" t="s">
        <v>400</v>
      </c>
      <c r="F65" s="55" t="s">
        <v>401</v>
      </c>
      <c r="G65" s="55" t="s">
        <v>402</v>
      </c>
      <c r="H65" s="55" t="s">
        <v>403</v>
      </c>
      <c r="I65" s="55" t="s">
        <v>404</v>
      </c>
      <c r="J65" s="55" t="s">
        <v>405</v>
      </c>
      <c r="K65" s="55" t="s">
        <v>406</v>
      </c>
      <c r="L65" s="55" t="s">
        <v>12</v>
      </c>
    </row>
    <row r="66" spans="1:12" x14ac:dyDescent="0.25">
      <c r="A66" t="s">
        <v>407</v>
      </c>
      <c r="B66" s="62" t="s">
        <v>351</v>
      </c>
      <c r="E66" s="63">
        <v>12000</v>
      </c>
      <c r="F66" s="64">
        <f>E66*1</f>
        <v>12000</v>
      </c>
      <c r="G66" s="64">
        <f>E66*10</f>
        <v>120000</v>
      </c>
      <c r="H66" s="64">
        <f>E66*30</f>
        <v>360000</v>
      </c>
      <c r="I66" s="64">
        <f>E66*60</f>
        <v>720000</v>
      </c>
      <c r="J66" s="64">
        <f>E66*120</f>
        <v>1440000</v>
      </c>
      <c r="K66" s="64">
        <f>E66*240</f>
        <v>2880000</v>
      </c>
    </row>
    <row r="67" spans="1:12" x14ac:dyDescent="0.25">
      <c r="A67" t="s">
        <v>408</v>
      </c>
      <c r="B67" s="62" t="s">
        <v>351</v>
      </c>
      <c r="C67">
        <v>30</v>
      </c>
      <c r="D67" s="64">
        <f t="shared" ref="D67:D70" si="16">(C67*C67/4)*4</f>
        <v>900</v>
      </c>
      <c r="E67" s="62" t="s">
        <v>351</v>
      </c>
      <c r="F67" s="64">
        <f t="shared" ref="F67:K67" si="17">F66/$D67</f>
        <v>13.333333333333334</v>
      </c>
      <c r="G67" s="64">
        <f t="shared" si="17"/>
        <v>133.33333333333334</v>
      </c>
      <c r="H67" s="64">
        <f t="shared" si="17"/>
        <v>400</v>
      </c>
      <c r="I67" s="65">
        <f t="shared" si="17"/>
        <v>800</v>
      </c>
      <c r="J67" s="64">
        <f t="shared" si="17"/>
        <v>1600</v>
      </c>
      <c r="K67" s="64">
        <f t="shared" si="17"/>
        <v>3200</v>
      </c>
      <c r="L67" t="s">
        <v>409</v>
      </c>
    </row>
    <row r="68" spans="1:12" x14ac:dyDescent="0.25">
      <c r="A68" t="s">
        <v>408</v>
      </c>
      <c r="B68" s="62" t="s">
        <v>351</v>
      </c>
      <c r="C68">
        <v>10</v>
      </c>
      <c r="D68" s="64">
        <f t="shared" si="16"/>
        <v>100</v>
      </c>
      <c r="E68" s="62" t="s">
        <v>351</v>
      </c>
      <c r="F68" s="64">
        <f t="shared" ref="F68:K68" si="18">F66/$D68</f>
        <v>120</v>
      </c>
      <c r="G68" s="64">
        <f t="shared" si="18"/>
        <v>1200</v>
      </c>
      <c r="H68" s="64">
        <f t="shared" si="18"/>
        <v>3600</v>
      </c>
      <c r="I68" s="64">
        <f t="shared" si="18"/>
        <v>7200</v>
      </c>
      <c r="J68" s="64">
        <f t="shared" si="18"/>
        <v>14400</v>
      </c>
      <c r="K68" s="64">
        <f t="shared" si="18"/>
        <v>28800</v>
      </c>
      <c r="L68" t="s">
        <v>410</v>
      </c>
    </row>
    <row r="69" spans="1:12" x14ac:dyDescent="0.25">
      <c r="A69" t="s">
        <v>408</v>
      </c>
      <c r="B69" s="62" t="s">
        <v>351</v>
      </c>
      <c r="C69">
        <v>6</v>
      </c>
      <c r="D69" s="64">
        <f t="shared" si="16"/>
        <v>36</v>
      </c>
      <c r="E69" s="62" t="s">
        <v>351</v>
      </c>
      <c r="F69" s="64">
        <f t="shared" ref="F69:K69" si="19">F66/$D69</f>
        <v>333.33333333333331</v>
      </c>
      <c r="G69" s="64">
        <f t="shared" si="19"/>
        <v>3333.3333333333335</v>
      </c>
      <c r="H69" s="64">
        <f t="shared" si="19"/>
        <v>10000</v>
      </c>
      <c r="I69" s="64">
        <f t="shared" si="19"/>
        <v>20000</v>
      </c>
      <c r="J69" s="64">
        <f t="shared" si="19"/>
        <v>40000</v>
      </c>
      <c r="K69" s="64">
        <f t="shared" si="19"/>
        <v>80000</v>
      </c>
      <c r="L69" t="s">
        <v>410</v>
      </c>
    </row>
    <row r="70" spans="1:12" x14ac:dyDescent="0.25">
      <c r="A70" t="s">
        <v>408</v>
      </c>
      <c r="B70" s="62" t="s">
        <v>351</v>
      </c>
      <c r="C70">
        <v>2</v>
      </c>
      <c r="D70" s="64">
        <f t="shared" si="16"/>
        <v>4</v>
      </c>
      <c r="E70" s="62" t="s">
        <v>351</v>
      </c>
      <c r="F70" s="64">
        <f t="shared" ref="F70:K70" si="20">F66/$D70</f>
        <v>3000</v>
      </c>
      <c r="G70" s="64">
        <f t="shared" si="20"/>
        <v>30000</v>
      </c>
      <c r="H70" s="64">
        <f t="shared" si="20"/>
        <v>90000</v>
      </c>
      <c r="I70" s="64">
        <f t="shared" si="20"/>
        <v>180000</v>
      </c>
      <c r="J70" s="64">
        <f t="shared" si="20"/>
        <v>360000</v>
      </c>
      <c r="K70" s="64">
        <f t="shared" si="20"/>
        <v>720000</v>
      </c>
      <c r="L70" t="s">
        <v>410</v>
      </c>
    </row>
    <row r="71" spans="1:12" x14ac:dyDescent="0.25">
      <c r="A71" t="s">
        <v>408</v>
      </c>
      <c r="B71" s="62" t="s">
        <v>351</v>
      </c>
      <c r="C71">
        <v>1</v>
      </c>
      <c r="D71" s="64">
        <f>(C71*C71/4)*4</f>
        <v>1</v>
      </c>
      <c r="E71" s="62" t="s">
        <v>351</v>
      </c>
      <c r="F71" s="64">
        <f t="shared" ref="F71:K71" si="21">F66/$D71</f>
        <v>12000</v>
      </c>
      <c r="G71" s="64">
        <f t="shared" si="21"/>
        <v>120000</v>
      </c>
      <c r="H71" s="64">
        <f t="shared" si="21"/>
        <v>360000</v>
      </c>
      <c r="I71" s="64">
        <f t="shared" si="21"/>
        <v>720000</v>
      </c>
      <c r="J71" s="64">
        <f t="shared" si="21"/>
        <v>1440000</v>
      </c>
      <c r="K71" s="64">
        <f t="shared" si="21"/>
        <v>2880000</v>
      </c>
      <c r="L71" t="s">
        <v>410</v>
      </c>
    </row>
    <row r="72" spans="1:12" x14ac:dyDescent="0.25">
      <c r="A72" s="66" t="s">
        <v>411</v>
      </c>
      <c r="B72" s="67">
        <f>I67/E66</f>
        <v>6.6666666666666666E-2</v>
      </c>
      <c r="C72" s="68">
        <f>B72</f>
        <v>6.6666666666666666E-2</v>
      </c>
      <c r="D72" t="s">
        <v>412</v>
      </c>
    </row>
    <row r="73" spans="1:12" x14ac:dyDescent="0.25">
      <c r="A73" s="66"/>
      <c r="B73" s="16"/>
    </row>
    <row r="74" spans="1:12" x14ac:dyDescent="0.25">
      <c r="A74" t="s">
        <v>413</v>
      </c>
    </row>
    <row r="75" spans="1:12" s="55" customFormat="1" ht="45" x14ac:dyDescent="0.25">
      <c r="A75" s="55" t="s">
        <v>370</v>
      </c>
      <c r="B75" s="55" t="s">
        <v>397</v>
      </c>
      <c r="C75" s="55" t="s">
        <v>398</v>
      </c>
      <c r="D75" s="55" t="s">
        <v>399</v>
      </c>
      <c r="E75" s="55" t="s">
        <v>400</v>
      </c>
      <c r="F75" s="55" t="s">
        <v>401</v>
      </c>
      <c r="G75" s="55" t="s">
        <v>402</v>
      </c>
      <c r="H75" s="55" t="s">
        <v>403</v>
      </c>
      <c r="I75" s="55" t="s">
        <v>404</v>
      </c>
      <c r="J75" s="55" t="s">
        <v>405</v>
      </c>
      <c r="K75" s="55" t="s">
        <v>406</v>
      </c>
      <c r="L75" s="55" t="s">
        <v>12</v>
      </c>
    </row>
    <row r="76" spans="1:12" x14ac:dyDescent="0.25">
      <c r="A76" t="s">
        <v>407</v>
      </c>
      <c r="B76" s="62" t="s">
        <v>351</v>
      </c>
      <c r="E76" s="63">
        <v>12000</v>
      </c>
      <c r="F76" s="64">
        <f>E76*1</f>
        <v>12000</v>
      </c>
      <c r="G76" s="64">
        <f>E76*10</f>
        <v>120000</v>
      </c>
      <c r="H76" s="64">
        <f>E76*30</f>
        <v>360000</v>
      </c>
      <c r="I76" s="64">
        <f>E76*60</f>
        <v>720000</v>
      </c>
      <c r="J76" s="64">
        <f>E76*120</f>
        <v>1440000</v>
      </c>
      <c r="K76" s="64">
        <f>E76*240</f>
        <v>2880000</v>
      </c>
    </row>
    <row r="77" spans="1:12" x14ac:dyDescent="0.25">
      <c r="A77" t="s">
        <v>408</v>
      </c>
      <c r="B77" s="64">
        <f>30*30*12</f>
        <v>10800</v>
      </c>
      <c r="C77">
        <v>30</v>
      </c>
      <c r="D77" s="64">
        <f t="shared" ref="D77:D80" si="22">(C77*C77/4)*4</f>
        <v>900</v>
      </c>
      <c r="E77" s="62" t="s">
        <v>351</v>
      </c>
      <c r="F77" s="64">
        <f t="shared" ref="F77:K77" si="23">F76/$B77</f>
        <v>1.1111111111111112</v>
      </c>
      <c r="G77" s="69">
        <f t="shared" si="23"/>
        <v>11.111111111111111</v>
      </c>
      <c r="H77" s="69">
        <f t="shared" si="23"/>
        <v>33.333333333333336</v>
      </c>
      <c r="I77" s="65">
        <f t="shared" si="23"/>
        <v>66.666666666666671</v>
      </c>
      <c r="J77" s="69">
        <f t="shared" si="23"/>
        <v>133.33333333333334</v>
      </c>
      <c r="K77" s="69">
        <f t="shared" si="23"/>
        <v>266.66666666666669</v>
      </c>
      <c r="L77" t="s">
        <v>409</v>
      </c>
    </row>
    <row r="78" spans="1:12" x14ac:dyDescent="0.25">
      <c r="A78" t="s">
        <v>408</v>
      </c>
      <c r="B78" s="64">
        <f t="shared" ref="B78:B79" si="24">30*30*12</f>
        <v>10800</v>
      </c>
      <c r="C78">
        <v>10</v>
      </c>
      <c r="D78" s="64">
        <f t="shared" si="22"/>
        <v>100</v>
      </c>
      <c r="E78" s="62" t="s">
        <v>351</v>
      </c>
      <c r="F78" s="64">
        <f>F76/$D78</f>
        <v>120</v>
      </c>
      <c r="G78" s="69">
        <f>G76/$B78</f>
        <v>11.111111111111111</v>
      </c>
      <c r="H78" s="69">
        <f>H76/$B78</f>
        <v>33.333333333333336</v>
      </c>
      <c r="I78" s="69">
        <f>I76/$B78</f>
        <v>66.666666666666671</v>
      </c>
      <c r="J78" s="69">
        <f>J76/$B78</f>
        <v>133.33333333333334</v>
      </c>
      <c r="K78" s="69">
        <f>K76/$B78</f>
        <v>266.66666666666669</v>
      </c>
      <c r="L78" t="s">
        <v>414</v>
      </c>
    </row>
    <row r="79" spans="1:12" x14ac:dyDescent="0.25">
      <c r="A79" t="s">
        <v>408</v>
      </c>
      <c r="B79" s="64">
        <f t="shared" si="24"/>
        <v>10800</v>
      </c>
      <c r="C79">
        <v>6</v>
      </c>
      <c r="D79" s="64">
        <f t="shared" si="22"/>
        <v>36</v>
      </c>
      <c r="E79" s="62" t="s">
        <v>351</v>
      </c>
      <c r="F79" s="64">
        <f>F76/$D79</f>
        <v>333.33333333333331</v>
      </c>
      <c r="G79" s="69">
        <f>G76/$B79</f>
        <v>11.111111111111111</v>
      </c>
      <c r="H79" s="69">
        <f>H76/$B79</f>
        <v>33.333333333333336</v>
      </c>
      <c r="I79" s="69">
        <f>I76/$B79</f>
        <v>66.666666666666671</v>
      </c>
      <c r="J79" s="69">
        <f>J76/$B79</f>
        <v>133.33333333333334</v>
      </c>
      <c r="K79" s="69">
        <f>K76/$B79</f>
        <v>266.66666666666669</v>
      </c>
      <c r="L79" t="s">
        <v>414</v>
      </c>
    </row>
    <row r="80" spans="1:12" x14ac:dyDescent="0.25">
      <c r="A80" t="s">
        <v>408</v>
      </c>
      <c r="B80" s="62" t="s">
        <v>351</v>
      </c>
      <c r="C80">
        <v>2</v>
      </c>
      <c r="D80" s="64">
        <f t="shared" si="22"/>
        <v>4</v>
      </c>
      <c r="E80" s="62" t="s">
        <v>351</v>
      </c>
      <c r="F80" s="64">
        <f>F76/$D80</f>
        <v>3000</v>
      </c>
      <c r="G80" s="64">
        <f>G76/$D80</f>
        <v>30000</v>
      </c>
      <c r="H80" s="64">
        <f>H76/$D80</f>
        <v>90000</v>
      </c>
      <c r="I80" s="64">
        <f>I76/$D80</f>
        <v>180000</v>
      </c>
      <c r="J80" s="64">
        <f>J76/$D80</f>
        <v>360000</v>
      </c>
      <c r="K80" s="64">
        <f>$F76/$D80</f>
        <v>3000</v>
      </c>
      <c r="L80" t="s">
        <v>414</v>
      </c>
    </row>
    <row r="81" spans="1:12" x14ac:dyDescent="0.25">
      <c r="A81" t="s">
        <v>408</v>
      </c>
      <c r="B81" s="62" t="s">
        <v>351</v>
      </c>
      <c r="C81">
        <v>1</v>
      </c>
      <c r="D81" s="64">
        <f>(C81*C81/4)*4</f>
        <v>1</v>
      </c>
      <c r="E81" s="62" t="s">
        <v>351</v>
      </c>
      <c r="F81" s="64">
        <f>F76/$D81</f>
        <v>12000</v>
      </c>
      <c r="G81" s="64">
        <f>G76/$D81</f>
        <v>120000</v>
      </c>
      <c r="H81" s="64">
        <f>H76/$D81</f>
        <v>360000</v>
      </c>
      <c r="I81" s="64">
        <f>I76/$D81</f>
        <v>720000</v>
      </c>
      <c r="J81" s="64">
        <f>J76/$D81</f>
        <v>1440000</v>
      </c>
      <c r="K81" s="64">
        <f>$F76/$D81</f>
        <v>12000</v>
      </c>
      <c r="L81" t="s">
        <v>414</v>
      </c>
    </row>
    <row r="82" spans="1:12" x14ac:dyDescent="0.25">
      <c r="A82" s="66" t="s">
        <v>415</v>
      </c>
      <c r="B82" s="67">
        <f>I77/E76</f>
        <v>5.5555555555555558E-3</v>
      </c>
      <c r="C82" s="68">
        <f>B82</f>
        <v>5.5555555555555558E-3</v>
      </c>
      <c r="D82" t="s">
        <v>412</v>
      </c>
    </row>
    <row r="84" spans="1:12" x14ac:dyDescent="0.25">
      <c r="A84" t="s">
        <v>396</v>
      </c>
    </row>
    <row r="85" spans="1:12" ht="45" x14ac:dyDescent="0.25">
      <c r="A85" s="55" t="s">
        <v>370</v>
      </c>
      <c r="B85" s="55" t="s">
        <v>397</v>
      </c>
      <c r="C85" s="55" t="s">
        <v>398</v>
      </c>
      <c r="D85" s="55" t="s">
        <v>399</v>
      </c>
      <c r="E85" s="55" t="s">
        <v>400</v>
      </c>
      <c r="F85" s="55" t="s">
        <v>401</v>
      </c>
      <c r="G85" s="55" t="s">
        <v>402</v>
      </c>
      <c r="H85" s="55" t="s">
        <v>403</v>
      </c>
      <c r="I85" s="55" t="s">
        <v>404</v>
      </c>
      <c r="J85" s="55" t="s">
        <v>405</v>
      </c>
      <c r="K85" s="55" t="s">
        <v>406</v>
      </c>
      <c r="L85" s="55" t="s">
        <v>12</v>
      </c>
    </row>
    <row r="86" spans="1:12" x14ac:dyDescent="0.25">
      <c r="A86" t="s">
        <v>407</v>
      </c>
      <c r="B86" s="62" t="s">
        <v>351</v>
      </c>
      <c r="E86" s="63">
        <v>120000</v>
      </c>
      <c r="F86" s="64">
        <f>E86*1</f>
        <v>120000</v>
      </c>
      <c r="G86" s="64">
        <f>E86*10</f>
        <v>1200000</v>
      </c>
      <c r="H86" s="64">
        <f>E86*30</f>
        <v>3600000</v>
      </c>
      <c r="I86" s="64">
        <f>E86*60</f>
        <v>7200000</v>
      </c>
      <c r="J86" s="64">
        <f>E86*120</f>
        <v>14400000</v>
      </c>
      <c r="K86" s="64">
        <f>E86*240</f>
        <v>28800000</v>
      </c>
    </row>
    <row r="87" spans="1:12" x14ac:dyDescent="0.25">
      <c r="A87" t="s">
        <v>408</v>
      </c>
      <c r="B87" s="62" t="s">
        <v>351</v>
      </c>
      <c r="C87">
        <v>30</v>
      </c>
      <c r="D87" s="64">
        <f t="shared" ref="D87:D90" si="25">(C87*C87/4)*4</f>
        <v>900</v>
      </c>
      <c r="E87" s="62" t="s">
        <v>351</v>
      </c>
      <c r="F87" s="64">
        <f t="shared" ref="F87:K87" si="26">F86/$D87</f>
        <v>133.33333333333334</v>
      </c>
      <c r="G87" s="64">
        <f t="shared" si="26"/>
        <v>1333.3333333333333</v>
      </c>
      <c r="H87" s="64">
        <f t="shared" si="26"/>
        <v>4000</v>
      </c>
      <c r="I87" s="65">
        <f t="shared" si="26"/>
        <v>8000</v>
      </c>
      <c r="J87" s="64">
        <f t="shared" si="26"/>
        <v>16000</v>
      </c>
      <c r="K87" s="64">
        <f t="shared" si="26"/>
        <v>32000</v>
      </c>
      <c r="L87" t="s">
        <v>409</v>
      </c>
    </row>
    <row r="88" spans="1:12" x14ac:dyDescent="0.25">
      <c r="A88" t="s">
        <v>408</v>
      </c>
      <c r="B88" s="62" t="s">
        <v>351</v>
      </c>
      <c r="C88">
        <v>10</v>
      </c>
      <c r="D88" s="64">
        <f t="shared" si="25"/>
        <v>100</v>
      </c>
      <c r="E88" s="62" t="s">
        <v>351</v>
      </c>
      <c r="F88" s="64">
        <f t="shared" ref="F88:K88" si="27">F86/$D88</f>
        <v>1200</v>
      </c>
      <c r="G88" s="64">
        <f t="shared" si="27"/>
        <v>12000</v>
      </c>
      <c r="H88" s="64">
        <f t="shared" si="27"/>
        <v>36000</v>
      </c>
      <c r="I88" s="64">
        <f t="shared" si="27"/>
        <v>72000</v>
      </c>
      <c r="J88" s="64">
        <f t="shared" si="27"/>
        <v>144000</v>
      </c>
      <c r="K88" s="64">
        <f t="shared" si="27"/>
        <v>288000</v>
      </c>
      <c r="L88" t="s">
        <v>410</v>
      </c>
    </row>
    <row r="89" spans="1:12" x14ac:dyDescent="0.25">
      <c r="A89" t="s">
        <v>408</v>
      </c>
      <c r="B89" s="62" t="s">
        <v>351</v>
      </c>
      <c r="C89">
        <v>6</v>
      </c>
      <c r="D89" s="64">
        <f t="shared" si="25"/>
        <v>36</v>
      </c>
      <c r="E89" s="62" t="s">
        <v>351</v>
      </c>
      <c r="F89" s="64">
        <f t="shared" ref="F89:K89" si="28">F86/$D89</f>
        <v>3333.3333333333335</v>
      </c>
      <c r="G89" s="64">
        <f t="shared" si="28"/>
        <v>33333.333333333336</v>
      </c>
      <c r="H89" s="64">
        <f t="shared" si="28"/>
        <v>100000</v>
      </c>
      <c r="I89" s="64">
        <f t="shared" si="28"/>
        <v>200000</v>
      </c>
      <c r="J89" s="64">
        <f t="shared" si="28"/>
        <v>400000</v>
      </c>
      <c r="K89" s="64">
        <f t="shared" si="28"/>
        <v>800000</v>
      </c>
      <c r="L89" t="s">
        <v>410</v>
      </c>
    </row>
    <row r="90" spans="1:12" x14ac:dyDescent="0.25">
      <c r="A90" t="s">
        <v>408</v>
      </c>
      <c r="B90" s="62" t="s">
        <v>351</v>
      </c>
      <c r="C90">
        <v>2</v>
      </c>
      <c r="D90" s="64">
        <f t="shared" si="25"/>
        <v>4</v>
      </c>
      <c r="E90" s="62" t="s">
        <v>351</v>
      </c>
      <c r="F90" s="64">
        <f t="shared" ref="F90:K90" si="29">F86/$D90</f>
        <v>30000</v>
      </c>
      <c r="G90" s="64">
        <f t="shared" si="29"/>
        <v>300000</v>
      </c>
      <c r="H90" s="64">
        <f t="shared" si="29"/>
        <v>900000</v>
      </c>
      <c r="I90" s="64">
        <f t="shared" si="29"/>
        <v>1800000</v>
      </c>
      <c r="J90" s="64">
        <f t="shared" si="29"/>
        <v>3600000</v>
      </c>
      <c r="K90" s="64">
        <f t="shared" si="29"/>
        <v>7200000</v>
      </c>
      <c r="L90" t="s">
        <v>410</v>
      </c>
    </row>
    <row r="91" spans="1:12" x14ac:dyDescent="0.25">
      <c r="A91" t="s">
        <v>408</v>
      </c>
      <c r="B91" s="62" t="s">
        <v>351</v>
      </c>
      <c r="C91">
        <v>1</v>
      </c>
      <c r="D91" s="64">
        <f>(C91*C91/4)*4</f>
        <v>1</v>
      </c>
      <c r="E91" s="62" t="s">
        <v>351</v>
      </c>
      <c r="F91" s="64">
        <f t="shared" ref="F91:K91" si="30">F86/$D91</f>
        <v>120000</v>
      </c>
      <c r="G91" s="64">
        <f t="shared" si="30"/>
        <v>1200000</v>
      </c>
      <c r="H91" s="64">
        <f t="shared" si="30"/>
        <v>3600000</v>
      </c>
      <c r="I91" s="64">
        <f t="shared" si="30"/>
        <v>7200000</v>
      </c>
      <c r="J91" s="64">
        <f t="shared" si="30"/>
        <v>14400000</v>
      </c>
      <c r="K91" s="64">
        <f t="shared" si="30"/>
        <v>28800000</v>
      </c>
      <c r="L91" t="s">
        <v>410</v>
      </c>
    </row>
    <row r="92" spans="1:12" x14ac:dyDescent="0.25">
      <c r="A92" s="66" t="s">
        <v>411</v>
      </c>
      <c r="B92" s="67">
        <f>I87/E86</f>
        <v>6.6666666666666666E-2</v>
      </c>
      <c r="C92" s="68">
        <f>B92</f>
        <v>6.6666666666666666E-2</v>
      </c>
      <c r="D92" t="s">
        <v>412</v>
      </c>
    </row>
    <row r="93" spans="1:12" x14ac:dyDescent="0.25">
      <c r="A93" s="66"/>
      <c r="B93" s="16"/>
    </row>
    <row r="94" spans="1:12" x14ac:dyDescent="0.25">
      <c r="A94" t="s">
        <v>413</v>
      </c>
    </row>
    <row r="95" spans="1:12" s="55" customFormat="1" ht="45" x14ac:dyDescent="0.25">
      <c r="A95" s="55" t="s">
        <v>370</v>
      </c>
      <c r="B95" s="55" t="s">
        <v>397</v>
      </c>
      <c r="C95" s="55" t="s">
        <v>398</v>
      </c>
      <c r="D95" s="55" t="s">
        <v>399</v>
      </c>
      <c r="E95" s="55" t="s">
        <v>400</v>
      </c>
      <c r="F95" s="55" t="s">
        <v>401</v>
      </c>
      <c r="G95" s="55" t="s">
        <v>402</v>
      </c>
      <c r="H95" s="55" t="s">
        <v>403</v>
      </c>
      <c r="I95" s="55" t="s">
        <v>404</v>
      </c>
      <c r="J95" s="55" t="s">
        <v>405</v>
      </c>
      <c r="K95" s="55" t="s">
        <v>406</v>
      </c>
      <c r="L95" s="55" t="s">
        <v>12</v>
      </c>
    </row>
    <row r="96" spans="1:12" x14ac:dyDescent="0.25">
      <c r="A96" t="s">
        <v>407</v>
      </c>
      <c r="B96" s="62" t="s">
        <v>351</v>
      </c>
      <c r="E96" s="63">
        <v>120000</v>
      </c>
      <c r="F96" s="64">
        <f>E96*1</f>
        <v>120000</v>
      </c>
      <c r="G96" s="64">
        <f>E96*10</f>
        <v>1200000</v>
      </c>
      <c r="H96" s="64">
        <f>E96*30</f>
        <v>3600000</v>
      </c>
      <c r="I96" s="64">
        <f>E96*60</f>
        <v>7200000</v>
      </c>
      <c r="J96" s="64">
        <f>E96*120</f>
        <v>14400000</v>
      </c>
      <c r="K96" s="64">
        <f>E96*240</f>
        <v>28800000</v>
      </c>
    </row>
    <row r="97" spans="1:12" x14ac:dyDescent="0.25">
      <c r="A97" t="s">
        <v>408</v>
      </c>
      <c r="B97" s="64">
        <f>30*30*12</f>
        <v>10800</v>
      </c>
      <c r="C97">
        <v>30</v>
      </c>
      <c r="D97" s="64">
        <f t="shared" ref="D97:D100" si="31">(C97*C97/4)*4</f>
        <v>900</v>
      </c>
      <c r="E97" s="62" t="s">
        <v>351</v>
      </c>
      <c r="F97" s="64">
        <f t="shared" ref="F97:K97" si="32">F96/$B97</f>
        <v>11.111111111111111</v>
      </c>
      <c r="G97" s="69">
        <f t="shared" si="32"/>
        <v>111.11111111111111</v>
      </c>
      <c r="H97" s="69">
        <f t="shared" si="32"/>
        <v>333.33333333333331</v>
      </c>
      <c r="I97" s="65">
        <f t="shared" si="32"/>
        <v>666.66666666666663</v>
      </c>
      <c r="J97" s="69">
        <f t="shared" si="32"/>
        <v>1333.3333333333333</v>
      </c>
      <c r="K97" s="69">
        <f t="shared" si="32"/>
        <v>2666.6666666666665</v>
      </c>
      <c r="L97" t="s">
        <v>409</v>
      </c>
    </row>
    <row r="98" spans="1:12" x14ac:dyDescent="0.25">
      <c r="A98" t="s">
        <v>408</v>
      </c>
      <c r="B98" s="64">
        <f t="shared" ref="B98:B99" si="33">30*30*12</f>
        <v>10800</v>
      </c>
      <c r="C98">
        <v>10</v>
      </c>
      <c r="D98" s="64">
        <f t="shared" si="31"/>
        <v>100</v>
      </c>
      <c r="E98" s="62" t="s">
        <v>351</v>
      </c>
      <c r="F98" s="64">
        <f>F96/$D98</f>
        <v>1200</v>
      </c>
      <c r="G98" s="69">
        <f>G96/$B98</f>
        <v>111.11111111111111</v>
      </c>
      <c r="H98" s="69">
        <f>H96/$B98</f>
        <v>333.33333333333331</v>
      </c>
      <c r="I98" s="69">
        <f>I96/$B98</f>
        <v>666.66666666666663</v>
      </c>
      <c r="J98" s="69">
        <f>J96/$B98</f>
        <v>1333.3333333333333</v>
      </c>
      <c r="K98" s="69">
        <f>K96/$B98</f>
        <v>2666.6666666666665</v>
      </c>
      <c r="L98" t="s">
        <v>414</v>
      </c>
    </row>
    <row r="99" spans="1:12" x14ac:dyDescent="0.25">
      <c r="A99" t="s">
        <v>408</v>
      </c>
      <c r="B99" s="64">
        <f t="shared" si="33"/>
        <v>10800</v>
      </c>
      <c r="C99">
        <v>6</v>
      </c>
      <c r="D99" s="64">
        <f t="shared" si="31"/>
        <v>36</v>
      </c>
      <c r="E99" s="62" t="s">
        <v>351</v>
      </c>
      <c r="F99" s="64">
        <f>F96/$D99</f>
        <v>3333.3333333333335</v>
      </c>
      <c r="G99" s="69">
        <f>G96/$B99</f>
        <v>111.11111111111111</v>
      </c>
      <c r="H99" s="69">
        <f>H96/$B99</f>
        <v>333.33333333333331</v>
      </c>
      <c r="I99" s="69">
        <f>I96/$B99</f>
        <v>666.66666666666663</v>
      </c>
      <c r="J99" s="69">
        <f>J96/$B99</f>
        <v>1333.3333333333333</v>
      </c>
      <c r="K99" s="69">
        <f>K96/$B99</f>
        <v>2666.6666666666665</v>
      </c>
      <c r="L99" t="s">
        <v>414</v>
      </c>
    </row>
    <row r="100" spans="1:12" x14ac:dyDescent="0.25">
      <c r="A100" t="s">
        <v>408</v>
      </c>
      <c r="B100" s="62" t="s">
        <v>351</v>
      </c>
      <c r="C100">
        <v>2</v>
      </c>
      <c r="D100" s="64">
        <f t="shared" si="31"/>
        <v>4</v>
      </c>
      <c r="E100" s="62" t="s">
        <v>351</v>
      </c>
      <c r="F100" s="64">
        <f>F96/$D100</f>
        <v>30000</v>
      </c>
      <c r="G100" s="64">
        <f>G96/$D100</f>
        <v>300000</v>
      </c>
      <c r="H100" s="64">
        <f>H96/$D100</f>
        <v>900000</v>
      </c>
      <c r="I100" s="64">
        <f>I96/$D100</f>
        <v>1800000</v>
      </c>
      <c r="J100" s="64">
        <f>J96/$D100</f>
        <v>3600000</v>
      </c>
      <c r="K100" s="64">
        <f>$F96/$D100</f>
        <v>30000</v>
      </c>
      <c r="L100" t="s">
        <v>414</v>
      </c>
    </row>
    <row r="101" spans="1:12" x14ac:dyDescent="0.25">
      <c r="A101" t="s">
        <v>408</v>
      </c>
      <c r="B101" s="62" t="s">
        <v>351</v>
      </c>
      <c r="C101">
        <v>1</v>
      </c>
      <c r="D101" s="64">
        <f>(C101*C101/4)*4</f>
        <v>1</v>
      </c>
      <c r="E101" s="62" t="s">
        <v>351</v>
      </c>
      <c r="F101" s="64">
        <f>F96/$D101</f>
        <v>120000</v>
      </c>
      <c r="G101" s="64">
        <f>G96/$D101</f>
        <v>1200000</v>
      </c>
      <c r="H101" s="64">
        <f>H96/$D101</f>
        <v>3600000</v>
      </c>
      <c r="I101" s="64">
        <f>I96/$D101</f>
        <v>7200000</v>
      </c>
      <c r="J101" s="64">
        <f>J96/$D101</f>
        <v>14400000</v>
      </c>
      <c r="K101" s="64">
        <f>$F96/$D101</f>
        <v>120000</v>
      </c>
      <c r="L101" t="s">
        <v>414</v>
      </c>
    </row>
    <row r="102" spans="1:12" x14ac:dyDescent="0.25">
      <c r="A102" s="66" t="s">
        <v>415</v>
      </c>
      <c r="B102" s="67">
        <f>I97/E96</f>
        <v>5.5555555555555549E-3</v>
      </c>
      <c r="C102" s="68">
        <f>B102</f>
        <v>5.5555555555555549E-3</v>
      </c>
      <c r="D102" t="s">
        <v>412</v>
      </c>
    </row>
    <row r="104" spans="1:12" x14ac:dyDescent="0.25">
      <c r="A104" t="s">
        <v>396</v>
      </c>
    </row>
    <row r="105" spans="1:12" ht="45" x14ac:dyDescent="0.25">
      <c r="A105" s="55" t="s">
        <v>370</v>
      </c>
      <c r="B105" s="55" t="s">
        <v>397</v>
      </c>
      <c r="C105" s="55" t="s">
        <v>398</v>
      </c>
      <c r="D105" s="55" t="s">
        <v>399</v>
      </c>
      <c r="E105" s="55" t="s">
        <v>400</v>
      </c>
      <c r="F105" s="55" t="s">
        <v>401</v>
      </c>
      <c r="G105" s="55" t="s">
        <v>402</v>
      </c>
      <c r="H105" s="55" t="s">
        <v>403</v>
      </c>
      <c r="I105" s="55" t="s">
        <v>404</v>
      </c>
      <c r="J105" s="55" t="s">
        <v>405</v>
      </c>
      <c r="K105" s="55" t="s">
        <v>406</v>
      </c>
      <c r="L105" s="55" t="s">
        <v>12</v>
      </c>
    </row>
    <row r="106" spans="1:12" x14ac:dyDescent="0.25">
      <c r="A106" t="s">
        <v>407</v>
      </c>
      <c r="B106" s="62" t="s">
        <v>351</v>
      </c>
      <c r="E106" s="63">
        <v>1200000</v>
      </c>
      <c r="F106" s="64">
        <f>E106*1</f>
        <v>1200000</v>
      </c>
      <c r="G106" s="64">
        <f>E106*10</f>
        <v>12000000</v>
      </c>
      <c r="H106" s="64">
        <f>E106*30</f>
        <v>36000000</v>
      </c>
      <c r="I106" s="64">
        <f>E106*60</f>
        <v>72000000</v>
      </c>
      <c r="J106" s="64">
        <f>E106*120</f>
        <v>144000000</v>
      </c>
      <c r="K106" s="64">
        <f>E106*240</f>
        <v>288000000</v>
      </c>
    </row>
    <row r="107" spans="1:12" x14ac:dyDescent="0.25">
      <c r="A107" t="s">
        <v>408</v>
      </c>
      <c r="B107" s="62" t="s">
        <v>351</v>
      </c>
      <c r="C107">
        <v>30</v>
      </c>
      <c r="D107" s="64">
        <f t="shared" ref="D107:D110" si="34">(C107*C107/4)*4</f>
        <v>900</v>
      </c>
      <c r="E107" s="62" t="s">
        <v>351</v>
      </c>
      <c r="F107" s="64">
        <f t="shared" ref="F107:K107" si="35">F106/$D107</f>
        <v>1333.3333333333333</v>
      </c>
      <c r="G107" s="64">
        <f t="shared" si="35"/>
        <v>13333.333333333334</v>
      </c>
      <c r="H107" s="64">
        <f t="shared" si="35"/>
        <v>40000</v>
      </c>
      <c r="I107" s="65">
        <f t="shared" si="35"/>
        <v>80000</v>
      </c>
      <c r="J107" s="64">
        <f t="shared" si="35"/>
        <v>160000</v>
      </c>
      <c r="K107" s="64">
        <f t="shared" si="35"/>
        <v>320000</v>
      </c>
      <c r="L107" t="s">
        <v>409</v>
      </c>
    </row>
    <row r="108" spans="1:12" x14ac:dyDescent="0.25">
      <c r="A108" t="s">
        <v>408</v>
      </c>
      <c r="B108" s="62" t="s">
        <v>351</v>
      </c>
      <c r="C108">
        <v>10</v>
      </c>
      <c r="D108" s="64">
        <f t="shared" si="34"/>
        <v>100</v>
      </c>
      <c r="E108" s="62" t="s">
        <v>351</v>
      </c>
      <c r="F108" s="64">
        <f t="shared" ref="F108:K108" si="36">F106/$D108</f>
        <v>12000</v>
      </c>
      <c r="G108" s="64">
        <f t="shared" si="36"/>
        <v>120000</v>
      </c>
      <c r="H108" s="64">
        <f t="shared" si="36"/>
        <v>360000</v>
      </c>
      <c r="I108" s="64">
        <f t="shared" si="36"/>
        <v>720000</v>
      </c>
      <c r="J108" s="64">
        <f t="shared" si="36"/>
        <v>1440000</v>
      </c>
      <c r="K108" s="64">
        <f t="shared" si="36"/>
        <v>2880000</v>
      </c>
      <c r="L108" t="s">
        <v>410</v>
      </c>
    </row>
    <row r="109" spans="1:12" x14ac:dyDescent="0.25">
      <c r="A109" t="s">
        <v>408</v>
      </c>
      <c r="B109" s="62" t="s">
        <v>351</v>
      </c>
      <c r="C109">
        <v>6</v>
      </c>
      <c r="D109" s="64">
        <f t="shared" si="34"/>
        <v>36</v>
      </c>
      <c r="E109" s="62" t="s">
        <v>351</v>
      </c>
      <c r="F109" s="64">
        <f t="shared" ref="F109:K109" si="37">F106/$D109</f>
        <v>33333.333333333336</v>
      </c>
      <c r="G109" s="64">
        <f t="shared" si="37"/>
        <v>333333.33333333331</v>
      </c>
      <c r="H109" s="64">
        <f t="shared" si="37"/>
        <v>1000000</v>
      </c>
      <c r="I109" s="64">
        <f t="shared" si="37"/>
        <v>2000000</v>
      </c>
      <c r="J109" s="64">
        <f t="shared" si="37"/>
        <v>4000000</v>
      </c>
      <c r="K109" s="64">
        <f t="shared" si="37"/>
        <v>8000000</v>
      </c>
      <c r="L109" t="s">
        <v>410</v>
      </c>
    </row>
    <row r="110" spans="1:12" x14ac:dyDescent="0.25">
      <c r="A110" t="s">
        <v>408</v>
      </c>
      <c r="B110" s="62" t="s">
        <v>351</v>
      </c>
      <c r="C110">
        <v>2</v>
      </c>
      <c r="D110" s="64">
        <f t="shared" si="34"/>
        <v>4</v>
      </c>
      <c r="E110" s="62" t="s">
        <v>351</v>
      </c>
      <c r="F110" s="64">
        <f t="shared" ref="F110:K110" si="38">F106/$D110</f>
        <v>300000</v>
      </c>
      <c r="G110" s="64">
        <f t="shared" si="38"/>
        <v>3000000</v>
      </c>
      <c r="H110" s="64">
        <f t="shared" si="38"/>
        <v>9000000</v>
      </c>
      <c r="I110" s="64">
        <f t="shared" si="38"/>
        <v>18000000</v>
      </c>
      <c r="J110" s="64">
        <f t="shared" si="38"/>
        <v>36000000</v>
      </c>
      <c r="K110" s="64">
        <f t="shared" si="38"/>
        <v>72000000</v>
      </c>
      <c r="L110" t="s">
        <v>410</v>
      </c>
    </row>
    <row r="111" spans="1:12" x14ac:dyDescent="0.25">
      <c r="A111" t="s">
        <v>408</v>
      </c>
      <c r="B111" s="62" t="s">
        <v>351</v>
      </c>
      <c r="C111">
        <v>1</v>
      </c>
      <c r="D111" s="64">
        <f>(C111*C111/4)*4</f>
        <v>1</v>
      </c>
      <c r="E111" s="62" t="s">
        <v>351</v>
      </c>
      <c r="F111" s="64">
        <f t="shared" ref="F111:K111" si="39">F106/$D111</f>
        <v>1200000</v>
      </c>
      <c r="G111" s="64">
        <f t="shared" si="39"/>
        <v>12000000</v>
      </c>
      <c r="H111" s="64">
        <f t="shared" si="39"/>
        <v>36000000</v>
      </c>
      <c r="I111" s="64">
        <f t="shared" si="39"/>
        <v>72000000</v>
      </c>
      <c r="J111" s="64">
        <f t="shared" si="39"/>
        <v>144000000</v>
      </c>
      <c r="K111" s="64">
        <f t="shared" si="39"/>
        <v>288000000</v>
      </c>
      <c r="L111" t="s">
        <v>410</v>
      </c>
    </row>
    <row r="112" spans="1:12" x14ac:dyDescent="0.25">
      <c r="A112" s="66" t="s">
        <v>411</v>
      </c>
      <c r="B112" s="67">
        <f>I107/E106</f>
        <v>6.6666666666666666E-2</v>
      </c>
      <c r="C112" s="68">
        <f>B112</f>
        <v>6.6666666666666666E-2</v>
      </c>
      <c r="D112" t="s">
        <v>412</v>
      </c>
    </row>
    <row r="113" spans="1:12" x14ac:dyDescent="0.25">
      <c r="A113" s="66"/>
      <c r="B113" s="16"/>
    </row>
    <row r="114" spans="1:12" x14ac:dyDescent="0.25">
      <c r="A114" t="s">
        <v>413</v>
      </c>
    </row>
    <row r="115" spans="1:12" s="55" customFormat="1" ht="45" x14ac:dyDescent="0.25">
      <c r="A115" s="55" t="s">
        <v>370</v>
      </c>
      <c r="B115" s="55" t="s">
        <v>397</v>
      </c>
      <c r="C115" s="55" t="s">
        <v>398</v>
      </c>
      <c r="D115" s="55" t="s">
        <v>399</v>
      </c>
      <c r="E115" s="55" t="s">
        <v>400</v>
      </c>
      <c r="F115" s="55" t="s">
        <v>401</v>
      </c>
      <c r="G115" s="55" t="s">
        <v>402</v>
      </c>
      <c r="H115" s="55" t="s">
        <v>403</v>
      </c>
      <c r="I115" s="55" t="s">
        <v>404</v>
      </c>
      <c r="J115" s="55" t="s">
        <v>405</v>
      </c>
      <c r="K115" s="55" t="s">
        <v>406</v>
      </c>
      <c r="L115" s="55" t="s">
        <v>12</v>
      </c>
    </row>
    <row r="116" spans="1:12" x14ac:dyDescent="0.25">
      <c r="A116" t="s">
        <v>407</v>
      </c>
      <c r="B116" s="62" t="s">
        <v>351</v>
      </c>
      <c r="E116" s="63">
        <v>1200000</v>
      </c>
      <c r="F116" s="64">
        <f>E116*1</f>
        <v>1200000</v>
      </c>
      <c r="G116" s="64">
        <f>E116*10</f>
        <v>12000000</v>
      </c>
      <c r="H116" s="64">
        <f>E116*30</f>
        <v>36000000</v>
      </c>
      <c r="I116" s="64">
        <f>E116*60</f>
        <v>72000000</v>
      </c>
      <c r="J116" s="64">
        <f>E116*120</f>
        <v>144000000</v>
      </c>
      <c r="K116" s="64">
        <f>E116*240</f>
        <v>288000000</v>
      </c>
    </row>
    <row r="117" spans="1:12" x14ac:dyDescent="0.25">
      <c r="A117" t="s">
        <v>408</v>
      </c>
      <c r="B117" s="64">
        <f>30*30*12</f>
        <v>10800</v>
      </c>
      <c r="C117">
        <v>30</v>
      </c>
      <c r="D117" s="64">
        <f t="shared" ref="D117:D120" si="40">(C117*C117/4)*4</f>
        <v>900</v>
      </c>
      <c r="E117" s="62" t="s">
        <v>351</v>
      </c>
      <c r="F117" s="64">
        <f t="shared" ref="F117:K117" si="41">F116/$B117</f>
        <v>111.11111111111111</v>
      </c>
      <c r="G117" s="69">
        <f t="shared" si="41"/>
        <v>1111.1111111111111</v>
      </c>
      <c r="H117" s="69">
        <f t="shared" si="41"/>
        <v>3333.3333333333335</v>
      </c>
      <c r="I117" s="65">
        <f t="shared" si="41"/>
        <v>6666.666666666667</v>
      </c>
      <c r="J117" s="69">
        <f t="shared" si="41"/>
        <v>13333.333333333334</v>
      </c>
      <c r="K117" s="69">
        <f t="shared" si="41"/>
        <v>26666.666666666668</v>
      </c>
      <c r="L117" t="s">
        <v>409</v>
      </c>
    </row>
    <row r="118" spans="1:12" x14ac:dyDescent="0.25">
      <c r="A118" t="s">
        <v>408</v>
      </c>
      <c r="B118" s="64">
        <f t="shared" ref="B118:B119" si="42">30*30*12</f>
        <v>10800</v>
      </c>
      <c r="C118">
        <v>10</v>
      </c>
      <c r="D118" s="64">
        <f t="shared" si="40"/>
        <v>100</v>
      </c>
      <c r="E118" s="62" t="s">
        <v>351</v>
      </c>
      <c r="F118" s="64">
        <f>F116/$D118</f>
        <v>12000</v>
      </c>
      <c r="G118" s="69">
        <f>G116/$B118</f>
        <v>1111.1111111111111</v>
      </c>
      <c r="H118" s="69">
        <f>H116/$B118</f>
        <v>3333.3333333333335</v>
      </c>
      <c r="I118" s="69">
        <f>I116/$B118</f>
        <v>6666.666666666667</v>
      </c>
      <c r="J118" s="69">
        <f>J116/$B118</f>
        <v>13333.333333333334</v>
      </c>
      <c r="K118" s="69">
        <f>K116/$B118</f>
        <v>26666.666666666668</v>
      </c>
      <c r="L118" t="s">
        <v>414</v>
      </c>
    </row>
    <row r="119" spans="1:12" x14ac:dyDescent="0.25">
      <c r="A119" t="s">
        <v>408</v>
      </c>
      <c r="B119" s="64">
        <f t="shared" si="42"/>
        <v>10800</v>
      </c>
      <c r="C119">
        <v>6</v>
      </c>
      <c r="D119" s="64">
        <f t="shared" si="40"/>
        <v>36</v>
      </c>
      <c r="E119" s="62" t="s">
        <v>351</v>
      </c>
      <c r="F119" s="64">
        <f>F116/$D119</f>
        <v>33333.333333333336</v>
      </c>
      <c r="G119" s="69">
        <f>G116/$B119</f>
        <v>1111.1111111111111</v>
      </c>
      <c r="H119" s="69">
        <f>H116/$B119</f>
        <v>3333.3333333333335</v>
      </c>
      <c r="I119" s="69">
        <f>I116/$B119</f>
        <v>6666.666666666667</v>
      </c>
      <c r="J119" s="69">
        <f>J116/$B119</f>
        <v>13333.333333333334</v>
      </c>
      <c r="K119" s="69">
        <f>K116/$B119</f>
        <v>26666.666666666668</v>
      </c>
      <c r="L119" t="s">
        <v>414</v>
      </c>
    </row>
    <row r="120" spans="1:12" x14ac:dyDescent="0.25">
      <c r="A120" t="s">
        <v>408</v>
      </c>
      <c r="B120" s="62" t="s">
        <v>351</v>
      </c>
      <c r="C120">
        <v>2</v>
      </c>
      <c r="D120" s="64">
        <f t="shared" si="40"/>
        <v>4</v>
      </c>
      <c r="E120" s="62" t="s">
        <v>351</v>
      </c>
      <c r="F120" s="64">
        <f>F116/$D120</f>
        <v>300000</v>
      </c>
      <c r="G120" s="64">
        <f>G116/$D120</f>
        <v>3000000</v>
      </c>
      <c r="H120" s="64">
        <f>H116/$D120</f>
        <v>9000000</v>
      </c>
      <c r="I120" s="64">
        <f>I116/$D120</f>
        <v>18000000</v>
      </c>
      <c r="J120" s="64">
        <f>J116/$D120</f>
        <v>36000000</v>
      </c>
      <c r="K120" s="64">
        <f>$F116/$D120</f>
        <v>300000</v>
      </c>
      <c r="L120" t="s">
        <v>414</v>
      </c>
    </row>
    <row r="121" spans="1:12" x14ac:dyDescent="0.25">
      <c r="A121" t="s">
        <v>408</v>
      </c>
      <c r="B121" s="62" t="s">
        <v>351</v>
      </c>
      <c r="C121">
        <v>1</v>
      </c>
      <c r="D121" s="64">
        <f>(C121*C121/4)*4</f>
        <v>1</v>
      </c>
      <c r="E121" s="62" t="s">
        <v>351</v>
      </c>
      <c r="F121" s="64">
        <f>F116/$D121</f>
        <v>1200000</v>
      </c>
      <c r="G121" s="64">
        <f>G116/$D121</f>
        <v>12000000</v>
      </c>
      <c r="H121" s="64">
        <f>H116/$D121</f>
        <v>36000000</v>
      </c>
      <c r="I121" s="64">
        <f>I116/$D121</f>
        <v>72000000</v>
      </c>
      <c r="J121" s="64">
        <f>J116/$D121</f>
        <v>144000000</v>
      </c>
      <c r="K121" s="64">
        <f>$F116/$D121</f>
        <v>1200000</v>
      </c>
      <c r="L121" t="s">
        <v>414</v>
      </c>
    </row>
    <row r="122" spans="1:12" x14ac:dyDescent="0.25">
      <c r="A122" s="66" t="s">
        <v>415</v>
      </c>
      <c r="B122" s="67">
        <f>I117/E116</f>
        <v>5.5555555555555558E-3</v>
      </c>
      <c r="C122" s="68">
        <f>B122</f>
        <v>5.5555555555555558E-3</v>
      </c>
      <c r="D122"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UV Design</vt:lpstr>
      <vt:lpstr>ROI</vt:lpstr>
      <vt:lpstr>VentAlt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Cassbeth</dc:creator>
  <cp:lastModifiedBy> walt</cp:lastModifiedBy>
  <dcterms:created xsi:type="dcterms:W3CDTF">2015-06-05T18:17:20Z</dcterms:created>
  <dcterms:modified xsi:type="dcterms:W3CDTF">2024-04-13T03:19:26Z</dcterms:modified>
</cp:coreProperties>
</file>